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24226"/>
  <mc:AlternateContent xmlns:mc="http://schemas.openxmlformats.org/markup-compatibility/2006">
    <mc:Choice Requires="x15">
      <x15ac:absPath xmlns:x15ac="http://schemas.microsoft.com/office/spreadsheetml/2010/11/ac" url="C:\Users\mpcar\Documents\9. PBC Eco Eval\2017 social enterprises eco eval\3 worked examples\"/>
    </mc:Choice>
  </mc:AlternateContent>
  <xr:revisionPtr revIDLastSave="0" documentId="13_ncr:1_{4A339639-0435-477C-8485-280F55549850}" xr6:coauthVersionLast="34" xr6:coauthVersionMax="34" xr10:uidLastSave="{00000000-0000-0000-0000-000000000000}"/>
  <bookViews>
    <workbookView xWindow="0" yWindow="0" windowWidth="15975" windowHeight="8640" tabRatio="798" xr2:uid="{00000000-000D-0000-FFFF-FFFF00000000}"/>
  </bookViews>
  <sheets>
    <sheet name="Intro &amp; Audits" sheetId="5" r:id="rId1"/>
    <sheet name="business model (in Real terms)" sheetId="6" r:id="rId2"/>
    <sheet name="Project funding (in Nominal)" sheetId="8" r:id="rId3"/>
  </sheets>
  <definedNames>
    <definedName name="_xlnm.Print_Area" localSheetId="1">'business model (in Real terms)'!$A$1:$J$220</definedName>
    <definedName name="_xlnm.Print_Area" localSheetId="0">'Intro &amp; Audits'!#REF!</definedName>
    <definedName name="_xlnm.Print_Area" localSheetId="2">'Project funding (in Nominal)'!$A$1:$O$34</definedName>
  </definedNames>
  <calcPr calcId="179021" concurrentCalc="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22" i="6" l="1"/>
  <c r="K106" i="6"/>
  <c r="L106" i="6"/>
  <c r="K105" i="6"/>
  <c r="L105" i="6"/>
  <c r="L111" i="6"/>
  <c r="L186" i="6"/>
  <c r="E166" i="6"/>
  <c r="F166" i="6"/>
  <c r="G166" i="6"/>
  <c r="H166" i="6"/>
  <c r="I166" i="6"/>
  <c r="J166" i="6"/>
  <c r="K166" i="6"/>
  <c r="L166" i="6"/>
  <c r="L167" i="6"/>
  <c r="L169" i="6"/>
  <c r="L122" i="6"/>
  <c r="L128" i="6"/>
  <c r="M105" i="6"/>
  <c r="M128" i="6"/>
  <c r="J129" i="6"/>
  <c r="K129" i="6"/>
  <c r="L129" i="6"/>
  <c r="L130" i="6"/>
  <c r="K130" i="6"/>
  <c r="L131" i="6"/>
  <c r="L132" i="6"/>
  <c r="K136" i="6"/>
  <c r="L136" i="6"/>
  <c r="K137" i="6"/>
  <c r="L137" i="6"/>
  <c r="K138" i="6"/>
  <c r="L138" i="6"/>
  <c r="K139" i="6"/>
  <c r="L139" i="6"/>
  <c r="L140" i="6"/>
  <c r="L141" i="6"/>
  <c r="D145" i="6"/>
  <c r="E145" i="6"/>
  <c r="F145" i="6"/>
  <c r="G145" i="6"/>
  <c r="H145" i="6"/>
  <c r="I145" i="6"/>
  <c r="J145" i="6"/>
  <c r="K145" i="6"/>
  <c r="L145" i="6"/>
  <c r="E146" i="6"/>
  <c r="F146" i="6"/>
  <c r="G146" i="6"/>
  <c r="H146" i="6"/>
  <c r="I146" i="6"/>
  <c r="J146" i="6"/>
  <c r="K146" i="6"/>
  <c r="L146" i="6"/>
  <c r="E147" i="6"/>
  <c r="F147" i="6"/>
  <c r="G147" i="6"/>
  <c r="H147" i="6"/>
  <c r="I147" i="6"/>
  <c r="J147" i="6"/>
  <c r="K147" i="6"/>
  <c r="L147" i="6"/>
  <c r="D148" i="6"/>
  <c r="E148" i="6"/>
  <c r="F148" i="6"/>
  <c r="G148" i="6"/>
  <c r="H148" i="6"/>
  <c r="I148" i="6"/>
  <c r="J148" i="6"/>
  <c r="K148" i="6"/>
  <c r="L148" i="6"/>
  <c r="E149" i="6"/>
  <c r="F149" i="6"/>
  <c r="G149" i="6"/>
  <c r="H149" i="6"/>
  <c r="I149" i="6"/>
  <c r="J149" i="6"/>
  <c r="K149" i="6"/>
  <c r="L149" i="6"/>
  <c r="E150" i="6"/>
  <c r="F150" i="6"/>
  <c r="G150" i="6"/>
  <c r="H150" i="6"/>
  <c r="I150" i="6"/>
  <c r="J150" i="6"/>
  <c r="K150" i="6"/>
  <c r="L150" i="6"/>
  <c r="L151" i="6"/>
  <c r="L171" i="6"/>
  <c r="L172" i="6"/>
  <c r="L191" i="6"/>
  <c r="D180" i="6"/>
  <c r="D181" i="6"/>
  <c r="D182" i="6"/>
  <c r="D183" i="6"/>
  <c r="D184" i="6"/>
  <c r="E179" i="6"/>
  <c r="E122" i="6"/>
  <c r="E180" i="6"/>
  <c r="E181" i="6"/>
  <c r="E182" i="6"/>
  <c r="E183" i="6"/>
  <c r="E184" i="6"/>
  <c r="F179" i="6"/>
  <c r="F122" i="6"/>
  <c r="F180" i="6"/>
  <c r="F181" i="6"/>
  <c r="F182" i="6"/>
  <c r="F183" i="6"/>
  <c r="F184" i="6"/>
  <c r="G179" i="6"/>
  <c r="G122" i="6"/>
  <c r="G180" i="6"/>
  <c r="G181" i="6"/>
  <c r="G182" i="6"/>
  <c r="G183" i="6"/>
  <c r="G184" i="6"/>
  <c r="H179" i="6"/>
  <c r="H122" i="6"/>
  <c r="H180" i="6"/>
  <c r="H181" i="6"/>
  <c r="H182" i="6"/>
  <c r="H183" i="6"/>
  <c r="H184" i="6"/>
  <c r="I179" i="6"/>
  <c r="I122" i="6"/>
  <c r="I180" i="6"/>
  <c r="I181" i="6"/>
  <c r="I182" i="6"/>
  <c r="I183" i="6"/>
  <c r="I184" i="6"/>
  <c r="J179" i="6"/>
  <c r="J122" i="6"/>
  <c r="J180" i="6"/>
  <c r="J181" i="6"/>
  <c r="J182" i="6"/>
  <c r="J183" i="6"/>
  <c r="J184" i="6"/>
  <c r="K179" i="6"/>
  <c r="K122" i="6"/>
  <c r="K180" i="6"/>
  <c r="K181" i="6"/>
  <c r="K182" i="6"/>
  <c r="K183" i="6"/>
  <c r="K184" i="6"/>
  <c r="L179" i="6"/>
  <c r="L180" i="6"/>
  <c r="L181" i="6"/>
  <c r="L182" i="6"/>
  <c r="L183" i="6"/>
  <c r="L190" i="6"/>
  <c r="L188" i="6"/>
  <c r="L189" i="6"/>
  <c r="L192" i="6"/>
  <c r="E190" i="6"/>
  <c r="E111" i="6"/>
  <c r="E186" i="6"/>
  <c r="E128" i="6"/>
  <c r="F128" i="6"/>
  <c r="E130" i="6"/>
  <c r="D130" i="6"/>
  <c r="E131" i="6"/>
  <c r="E132" i="6"/>
  <c r="E140" i="6"/>
  <c r="E141" i="6"/>
  <c r="E188" i="6"/>
  <c r="E151" i="6"/>
  <c r="E189" i="6"/>
  <c r="E167" i="6"/>
  <c r="E169" i="6"/>
  <c r="E171" i="6"/>
  <c r="E172" i="6"/>
  <c r="E191" i="6"/>
  <c r="E192" i="6"/>
  <c r="F190" i="6"/>
  <c r="F111" i="6"/>
  <c r="F186" i="6"/>
  <c r="G128" i="6"/>
  <c r="F130" i="6"/>
  <c r="F131" i="6"/>
  <c r="F132" i="6"/>
  <c r="F140" i="6"/>
  <c r="F141" i="6"/>
  <c r="F188" i="6"/>
  <c r="F151" i="6"/>
  <c r="F189" i="6"/>
  <c r="F167" i="6"/>
  <c r="F169" i="6"/>
  <c r="F171" i="6"/>
  <c r="F172" i="6"/>
  <c r="F191" i="6"/>
  <c r="F192" i="6"/>
  <c r="G190" i="6"/>
  <c r="G111" i="6"/>
  <c r="G186" i="6"/>
  <c r="H128" i="6"/>
  <c r="G130" i="6"/>
  <c r="G131" i="6"/>
  <c r="G132" i="6"/>
  <c r="G140" i="6"/>
  <c r="G141" i="6"/>
  <c r="G188" i="6"/>
  <c r="G151" i="6"/>
  <c r="G189" i="6"/>
  <c r="G167" i="6"/>
  <c r="G169" i="6"/>
  <c r="G171" i="6"/>
  <c r="G172" i="6"/>
  <c r="G191" i="6"/>
  <c r="G192" i="6"/>
  <c r="H190" i="6"/>
  <c r="H111" i="6"/>
  <c r="H186" i="6"/>
  <c r="I128" i="6"/>
  <c r="H130" i="6"/>
  <c r="H131" i="6"/>
  <c r="H132" i="6"/>
  <c r="H140" i="6"/>
  <c r="H141" i="6"/>
  <c r="H188" i="6"/>
  <c r="H151" i="6"/>
  <c r="H189" i="6"/>
  <c r="H167" i="6"/>
  <c r="H169" i="6"/>
  <c r="H171" i="6"/>
  <c r="H172" i="6"/>
  <c r="H191" i="6"/>
  <c r="H192" i="6"/>
  <c r="I190" i="6"/>
  <c r="I111" i="6"/>
  <c r="I186" i="6"/>
  <c r="J128" i="6"/>
  <c r="I130" i="6"/>
  <c r="I131" i="6"/>
  <c r="I132" i="6"/>
  <c r="I140" i="6"/>
  <c r="I141" i="6"/>
  <c r="I188" i="6"/>
  <c r="I151" i="6"/>
  <c r="I189" i="6"/>
  <c r="I167" i="6"/>
  <c r="I169" i="6"/>
  <c r="I171" i="6"/>
  <c r="I172" i="6"/>
  <c r="I191" i="6"/>
  <c r="I192" i="6"/>
  <c r="J111" i="6"/>
  <c r="J186" i="6"/>
  <c r="J167" i="6"/>
  <c r="J169" i="6"/>
  <c r="K128" i="6"/>
  <c r="J130" i="6"/>
  <c r="J131" i="6"/>
  <c r="J132" i="6"/>
  <c r="J140" i="6"/>
  <c r="J141" i="6"/>
  <c r="J151" i="6"/>
  <c r="J171" i="6"/>
  <c r="J172" i="6"/>
  <c r="J191" i="6"/>
  <c r="J190" i="6"/>
  <c r="J188" i="6"/>
  <c r="J189" i="6"/>
  <c r="J192" i="6"/>
  <c r="K111" i="6"/>
  <c r="K186" i="6"/>
  <c r="K167" i="6"/>
  <c r="K169" i="6"/>
  <c r="K131" i="6"/>
  <c r="K132" i="6"/>
  <c r="K140" i="6"/>
  <c r="K141" i="6"/>
  <c r="K151" i="6"/>
  <c r="K171" i="6"/>
  <c r="K172" i="6"/>
  <c r="K191" i="6"/>
  <c r="K190" i="6"/>
  <c r="K188" i="6"/>
  <c r="K189" i="6"/>
  <c r="K192" i="6"/>
  <c r="M106" i="6"/>
  <c r="M111" i="6"/>
  <c r="M186" i="6"/>
  <c r="M166" i="6"/>
  <c r="M167" i="6"/>
  <c r="M169" i="6"/>
  <c r="M122" i="6"/>
  <c r="N105" i="6"/>
  <c r="N128" i="6"/>
  <c r="M129" i="6"/>
  <c r="M130" i="6"/>
  <c r="M131" i="6"/>
  <c r="M132" i="6"/>
  <c r="M136" i="6"/>
  <c r="M137" i="6"/>
  <c r="M138" i="6"/>
  <c r="M139" i="6"/>
  <c r="M140" i="6"/>
  <c r="M141" i="6"/>
  <c r="M145" i="6"/>
  <c r="M146" i="6"/>
  <c r="M147" i="6"/>
  <c r="M148" i="6"/>
  <c r="M149" i="6"/>
  <c r="M150" i="6"/>
  <c r="M151" i="6"/>
  <c r="M171" i="6"/>
  <c r="M172" i="6"/>
  <c r="M191" i="6"/>
  <c r="L184" i="6"/>
  <c r="M179" i="6"/>
  <c r="M180" i="6"/>
  <c r="M181" i="6"/>
  <c r="M182" i="6"/>
  <c r="M183" i="6"/>
  <c r="M190" i="6"/>
  <c r="M188" i="6"/>
  <c r="M189" i="6"/>
  <c r="M192" i="6"/>
  <c r="N106" i="6"/>
  <c r="N111" i="6"/>
  <c r="N186" i="6"/>
  <c r="N166" i="6"/>
  <c r="N167" i="6"/>
  <c r="N169" i="6"/>
  <c r="N122" i="6"/>
  <c r="O105" i="6"/>
  <c r="O128" i="6"/>
  <c r="N129" i="6"/>
  <c r="N130" i="6"/>
  <c r="N131" i="6"/>
  <c r="N132" i="6"/>
  <c r="N136" i="6"/>
  <c r="N137" i="6"/>
  <c r="N138" i="6"/>
  <c r="N139" i="6"/>
  <c r="N140" i="6"/>
  <c r="N141" i="6"/>
  <c r="N145" i="6"/>
  <c r="N146" i="6"/>
  <c r="N147" i="6"/>
  <c r="N148" i="6"/>
  <c r="N149" i="6"/>
  <c r="N150" i="6"/>
  <c r="N151" i="6"/>
  <c r="N171" i="6"/>
  <c r="N172" i="6"/>
  <c r="N191" i="6"/>
  <c r="M184" i="6"/>
  <c r="N179" i="6"/>
  <c r="N180" i="6"/>
  <c r="N181" i="6"/>
  <c r="N182" i="6"/>
  <c r="N183" i="6"/>
  <c r="N190" i="6"/>
  <c r="N188" i="6"/>
  <c r="N189" i="6"/>
  <c r="N192" i="6"/>
  <c r="O106" i="6"/>
  <c r="O111" i="6"/>
  <c r="O186" i="6"/>
  <c r="O166" i="6"/>
  <c r="O167" i="6"/>
  <c r="O169" i="6"/>
  <c r="O122" i="6"/>
  <c r="P105" i="6"/>
  <c r="P128" i="6"/>
  <c r="O129" i="6"/>
  <c r="O130" i="6"/>
  <c r="O131" i="6"/>
  <c r="O132" i="6"/>
  <c r="O136" i="6"/>
  <c r="O137" i="6"/>
  <c r="O138" i="6"/>
  <c r="O139" i="6"/>
  <c r="O140" i="6"/>
  <c r="O141" i="6"/>
  <c r="O145" i="6"/>
  <c r="O146" i="6"/>
  <c r="O147" i="6"/>
  <c r="O148" i="6"/>
  <c r="O149" i="6"/>
  <c r="O150" i="6"/>
  <c r="O151" i="6"/>
  <c r="O171" i="6"/>
  <c r="O172" i="6"/>
  <c r="O191" i="6"/>
  <c r="N184" i="6"/>
  <c r="O179" i="6"/>
  <c r="O180" i="6"/>
  <c r="O181" i="6"/>
  <c r="O182" i="6"/>
  <c r="O183" i="6"/>
  <c r="O190" i="6"/>
  <c r="O188" i="6"/>
  <c r="O189" i="6"/>
  <c r="O192" i="6"/>
  <c r="P106" i="6"/>
  <c r="P111" i="6"/>
  <c r="P186" i="6"/>
  <c r="P166" i="6"/>
  <c r="P167" i="6"/>
  <c r="P169" i="6"/>
  <c r="P122" i="6"/>
  <c r="Q105" i="6"/>
  <c r="Q128" i="6"/>
  <c r="P129" i="6"/>
  <c r="P130" i="6"/>
  <c r="P131" i="6"/>
  <c r="P132" i="6"/>
  <c r="P136" i="6"/>
  <c r="P137" i="6"/>
  <c r="P138" i="6"/>
  <c r="P139" i="6"/>
  <c r="P140" i="6"/>
  <c r="P141" i="6"/>
  <c r="P145" i="6"/>
  <c r="P146" i="6"/>
  <c r="P147" i="6"/>
  <c r="P148" i="6"/>
  <c r="P149" i="6"/>
  <c r="P150" i="6"/>
  <c r="P151" i="6"/>
  <c r="P171" i="6"/>
  <c r="P172" i="6"/>
  <c r="P191" i="6"/>
  <c r="O184" i="6"/>
  <c r="P179" i="6"/>
  <c r="P180" i="6"/>
  <c r="P181" i="6"/>
  <c r="P182" i="6"/>
  <c r="P183" i="6"/>
  <c r="P190" i="6"/>
  <c r="P188" i="6"/>
  <c r="P189" i="6"/>
  <c r="P192" i="6"/>
  <c r="Q106" i="6"/>
  <c r="Q111" i="6"/>
  <c r="Q186" i="6"/>
  <c r="Q166" i="6"/>
  <c r="Q167" i="6"/>
  <c r="Q169" i="6"/>
  <c r="Q122" i="6"/>
  <c r="R105" i="6"/>
  <c r="R128" i="6"/>
  <c r="Q129" i="6"/>
  <c r="Q130" i="6"/>
  <c r="Q131" i="6"/>
  <c r="Q132" i="6"/>
  <c r="Q136" i="6"/>
  <c r="Q137" i="6"/>
  <c r="Q138" i="6"/>
  <c r="Q139" i="6"/>
  <c r="Q140" i="6"/>
  <c r="Q141" i="6"/>
  <c r="Q145" i="6"/>
  <c r="Q146" i="6"/>
  <c r="Q147" i="6"/>
  <c r="Q148" i="6"/>
  <c r="Q149" i="6"/>
  <c r="Q150" i="6"/>
  <c r="Q151" i="6"/>
  <c r="Q171" i="6"/>
  <c r="Q172" i="6"/>
  <c r="Q191" i="6"/>
  <c r="P184" i="6"/>
  <c r="Q179" i="6"/>
  <c r="Q180" i="6"/>
  <c r="Q181" i="6"/>
  <c r="Q182" i="6"/>
  <c r="Q183" i="6"/>
  <c r="Q190" i="6"/>
  <c r="Q188" i="6"/>
  <c r="Q189" i="6"/>
  <c r="Q192" i="6"/>
  <c r="R106" i="6"/>
  <c r="R111" i="6"/>
  <c r="R186" i="6"/>
  <c r="R166" i="6"/>
  <c r="R167" i="6"/>
  <c r="R169" i="6"/>
  <c r="R122" i="6"/>
  <c r="S105" i="6"/>
  <c r="S128" i="6"/>
  <c r="R129" i="6"/>
  <c r="R130" i="6"/>
  <c r="R131" i="6"/>
  <c r="R132" i="6"/>
  <c r="R136" i="6"/>
  <c r="R137" i="6"/>
  <c r="R138" i="6"/>
  <c r="R139" i="6"/>
  <c r="R140" i="6"/>
  <c r="R141" i="6"/>
  <c r="R145" i="6"/>
  <c r="R146" i="6"/>
  <c r="R147" i="6"/>
  <c r="R148" i="6"/>
  <c r="R149" i="6"/>
  <c r="R150" i="6"/>
  <c r="R151" i="6"/>
  <c r="R171" i="6"/>
  <c r="R172" i="6"/>
  <c r="R191" i="6"/>
  <c r="Q184" i="6"/>
  <c r="R179" i="6"/>
  <c r="R180" i="6"/>
  <c r="R181" i="6"/>
  <c r="R182" i="6"/>
  <c r="R183" i="6"/>
  <c r="R190" i="6"/>
  <c r="R188" i="6"/>
  <c r="R189" i="6"/>
  <c r="R192" i="6"/>
  <c r="S106" i="6"/>
  <c r="S111" i="6"/>
  <c r="S186" i="6"/>
  <c r="S166" i="6"/>
  <c r="S167" i="6"/>
  <c r="S169" i="6"/>
  <c r="S122" i="6"/>
  <c r="T105" i="6"/>
  <c r="T128" i="6"/>
  <c r="S129" i="6"/>
  <c r="S130" i="6"/>
  <c r="S131" i="6"/>
  <c r="S132" i="6"/>
  <c r="S136" i="6"/>
  <c r="S137" i="6"/>
  <c r="S138" i="6"/>
  <c r="S139" i="6"/>
  <c r="S140" i="6"/>
  <c r="S141" i="6"/>
  <c r="S145" i="6"/>
  <c r="S146" i="6"/>
  <c r="S147" i="6"/>
  <c r="S148" i="6"/>
  <c r="S149" i="6"/>
  <c r="S150" i="6"/>
  <c r="S151" i="6"/>
  <c r="S171" i="6"/>
  <c r="S172" i="6"/>
  <c r="S191" i="6"/>
  <c r="R184" i="6"/>
  <c r="S179" i="6"/>
  <c r="S180" i="6"/>
  <c r="S181" i="6"/>
  <c r="S182" i="6"/>
  <c r="S183" i="6"/>
  <c r="S190" i="6"/>
  <c r="S188" i="6"/>
  <c r="S189" i="6"/>
  <c r="S192" i="6"/>
  <c r="T106" i="6"/>
  <c r="T111" i="6"/>
  <c r="T186" i="6"/>
  <c r="T166" i="6"/>
  <c r="T167" i="6"/>
  <c r="T169" i="6"/>
  <c r="T122" i="6"/>
  <c r="U105" i="6"/>
  <c r="U128" i="6"/>
  <c r="T129" i="6"/>
  <c r="T130" i="6"/>
  <c r="T131" i="6"/>
  <c r="T132" i="6"/>
  <c r="T136" i="6"/>
  <c r="T137" i="6"/>
  <c r="T138" i="6"/>
  <c r="T139" i="6"/>
  <c r="T140" i="6"/>
  <c r="T141" i="6"/>
  <c r="T145" i="6"/>
  <c r="T146" i="6"/>
  <c r="T147" i="6"/>
  <c r="T148" i="6"/>
  <c r="T149" i="6"/>
  <c r="T150" i="6"/>
  <c r="T151" i="6"/>
  <c r="T171" i="6"/>
  <c r="T172" i="6"/>
  <c r="T191" i="6"/>
  <c r="S184" i="6"/>
  <c r="T179" i="6"/>
  <c r="T180" i="6"/>
  <c r="T181" i="6"/>
  <c r="T182" i="6"/>
  <c r="T183" i="6"/>
  <c r="T190" i="6"/>
  <c r="T188" i="6"/>
  <c r="T189" i="6"/>
  <c r="T192" i="6"/>
  <c r="U106" i="6"/>
  <c r="U111" i="6"/>
  <c r="U186" i="6"/>
  <c r="U166" i="6"/>
  <c r="U167" i="6"/>
  <c r="U169" i="6"/>
  <c r="U122" i="6"/>
  <c r="V105" i="6"/>
  <c r="V128" i="6"/>
  <c r="U129" i="6"/>
  <c r="U130" i="6"/>
  <c r="U131" i="6"/>
  <c r="U132" i="6"/>
  <c r="U136" i="6"/>
  <c r="U137" i="6"/>
  <c r="U138" i="6"/>
  <c r="U139" i="6"/>
  <c r="U140" i="6"/>
  <c r="U141" i="6"/>
  <c r="U145" i="6"/>
  <c r="U146" i="6"/>
  <c r="U147" i="6"/>
  <c r="U148" i="6"/>
  <c r="U149" i="6"/>
  <c r="U150" i="6"/>
  <c r="U151" i="6"/>
  <c r="U171" i="6"/>
  <c r="U172" i="6"/>
  <c r="U191" i="6"/>
  <c r="T184" i="6"/>
  <c r="U179" i="6"/>
  <c r="U180" i="6"/>
  <c r="U181" i="6"/>
  <c r="U182" i="6"/>
  <c r="U183" i="6"/>
  <c r="U190" i="6"/>
  <c r="U188" i="6"/>
  <c r="U189" i="6"/>
  <c r="U192" i="6"/>
  <c r="V106" i="6"/>
  <c r="V111" i="6"/>
  <c r="V186" i="6"/>
  <c r="V166" i="6"/>
  <c r="V167" i="6"/>
  <c r="V169" i="6"/>
  <c r="V122" i="6"/>
  <c r="W105" i="6"/>
  <c r="W128" i="6"/>
  <c r="V129" i="6"/>
  <c r="V130" i="6"/>
  <c r="V131" i="6"/>
  <c r="V132" i="6"/>
  <c r="V136" i="6"/>
  <c r="V137" i="6"/>
  <c r="V138" i="6"/>
  <c r="V139" i="6"/>
  <c r="V140" i="6"/>
  <c r="V141" i="6"/>
  <c r="V145" i="6"/>
  <c r="V146" i="6"/>
  <c r="V147" i="6"/>
  <c r="V148" i="6"/>
  <c r="V149" i="6"/>
  <c r="V150" i="6"/>
  <c r="V151" i="6"/>
  <c r="V171" i="6"/>
  <c r="V172" i="6"/>
  <c r="V191" i="6"/>
  <c r="U184" i="6"/>
  <c r="V179" i="6"/>
  <c r="V180" i="6"/>
  <c r="V181" i="6"/>
  <c r="V182" i="6"/>
  <c r="V183" i="6"/>
  <c r="V190" i="6"/>
  <c r="V188" i="6"/>
  <c r="V189" i="6"/>
  <c r="V192" i="6"/>
  <c r="W106" i="6"/>
  <c r="W111" i="6"/>
  <c r="W186" i="6"/>
  <c r="W166" i="6"/>
  <c r="W167" i="6"/>
  <c r="W169" i="6"/>
  <c r="W122" i="6"/>
  <c r="X105" i="6"/>
  <c r="X128" i="6"/>
  <c r="W129" i="6"/>
  <c r="W130" i="6"/>
  <c r="W131" i="6"/>
  <c r="W132" i="6"/>
  <c r="W136" i="6"/>
  <c r="W137" i="6"/>
  <c r="W138" i="6"/>
  <c r="W139" i="6"/>
  <c r="W140" i="6"/>
  <c r="W141" i="6"/>
  <c r="W145" i="6"/>
  <c r="W146" i="6"/>
  <c r="W147" i="6"/>
  <c r="W148" i="6"/>
  <c r="W149" i="6"/>
  <c r="W150" i="6"/>
  <c r="W151" i="6"/>
  <c r="W171" i="6"/>
  <c r="W172" i="6"/>
  <c r="W191" i="6"/>
  <c r="V184" i="6"/>
  <c r="W179" i="6"/>
  <c r="W180" i="6"/>
  <c r="W181" i="6"/>
  <c r="W182" i="6"/>
  <c r="W183" i="6"/>
  <c r="W190" i="6"/>
  <c r="W188" i="6"/>
  <c r="W189" i="6"/>
  <c r="W192" i="6"/>
  <c r="X106" i="6"/>
  <c r="X111" i="6"/>
  <c r="X186" i="6"/>
  <c r="X166" i="6"/>
  <c r="X167" i="6"/>
  <c r="X169" i="6"/>
  <c r="X122" i="6"/>
  <c r="Y105" i="6"/>
  <c r="Y128" i="6"/>
  <c r="X129" i="6"/>
  <c r="X130" i="6"/>
  <c r="X131" i="6"/>
  <c r="X132" i="6"/>
  <c r="X136" i="6"/>
  <c r="X137" i="6"/>
  <c r="X138" i="6"/>
  <c r="X139" i="6"/>
  <c r="X140" i="6"/>
  <c r="X141" i="6"/>
  <c r="X145" i="6"/>
  <c r="X146" i="6"/>
  <c r="X147" i="6"/>
  <c r="X148" i="6"/>
  <c r="X149" i="6"/>
  <c r="X150" i="6"/>
  <c r="X151" i="6"/>
  <c r="X171" i="6"/>
  <c r="X172" i="6"/>
  <c r="X191" i="6"/>
  <c r="W184" i="6"/>
  <c r="X179" i="6"/>
  <c r="X180" i="6"/>
  <c r="X181" i="6"/>
  <c r="X182" i="6"/>
  <c r="X183" i="6"/>
  <c r="X190" i="6"/>
  <c r="X188" i="6"/>
  <c r="X189" i="6"/>
  <c r="X192" i="6"/>
  <c r="Y106" i="6"/>
  <c r="Y111" i="6"/>
  <c r="Y186" i="6"/>
  <c r="Y166" i="6"/>
  <c r="Y167" i="6"/>
  <c r="Y169" i="6"/>
  <c r="Y122" i="6"/>
  <c r="Z105" i="6"/>
  <c r="Z128" i="6"/>
  <c r="Y129" i="6"/>
  <c r="Y130" i="6"/>
  <c r="Y131" i="6"/>
  <c r="Y132" i="6"/>
  <c r="Y136" i="6"/>
  <c r="Y137" i="6"/>
  <c r="Y138" i="6"/>
  <c r="Y139" i="6"/>
  <c r="Y140" i="6"/>
  <c r="Y141" i="6"/>
  <c r="Y145" i="6"/>
  <c r="Y146" i="6"/>
  <c r="Y147" i="6"/>
  <c r="Y148" i="6"/>
  <c r="Y149" i="6"/>
  <c r="Y150" i="6"/>
  <c r="Y151" i="6"/>
  <c r="Y171" i="6"/>
  <c r="Y172" i="6"/>
  <c r="Y191" i="6"/>
  <c r="X184" i="6"/>
  <c r="Y179" i="6"/>
  <c r="Y180" i="6"/>
  <c r="Y181" i="6"/>
  <c r="Y182" i="6"/>
  <c r="Y183" i="6"/>
  <c r="Y190" i="6"/>
  <c r="Y188" i="6"/>
  <c r="Y189" i="6"/>
  <c r="Y192" i="6"/>
  <c r="Z106" i="6"/>
  <c r="Z111" i="6"/>
  <c r="Z186" i="6"/>
  <c r="Z166" i="6"/>
  <c r="Z167" i="6"/>
  <c r="Z169" i="6"/>
  <c r="Z122" i="6"/>
  <c r="AA105" i="6"/>
  <c r="AA128" i="6"/>
  <c r="Z129" i="6"/>
  <c r="Z130" i="6"/>
  <c r="Z131" i="6"/>
  <c r="Z132" i="6"/>
  <c r="Z136" i="6"/>
  <c r="Z137" i="6"/>
  <c r="Z138" i="6"/>
  <c r="Z139" i="6"/>
  <c r="Z140" i="6"/>
  <c r="Z141" i="6"/>
  <c r="Z145" i="6"/>
  <c r="Z146" i="6"/>
  <c r="Z147" i="6"/>
  <c r="Z148" i="6"/>
  <c r="Z149" i="6"/>
  <c r="Z150" i="6"/>
  <c r="Z151" i="6"/>
  <c r="Z171" i="6"/>
  <c r="Z172" i="6"/>
  <c r="Z191" i="6"/>
  <c r="Y184" i="6"/>
  <c r="Z179" i="6"/>
  <c r="Z180" i="6"/>
  <c r="Z181" i="6"/>
  <c r="Z182" i="6"/>
  <c r="Z183" i="6"/>
  <c r="Z190" i="6"/>
  <c r="Z188" i="6"/>
  <c r="Z189" i="6"/>
  <c r="Z192" i="6"/>
  <c r="AA106" i="6"/>
  <c r="AA111" i="6"/>
  <c r="AA186" i="6"/>
  <c r="AA166" i="6"/>
  <c r="AA167" i="6"/>
  <c r="AA169" i="6"/>
  <c r="AA122" i="6"/>
  <c r="AB105" i="6"/>
  <c r="AB128" i="6"/>
  <c r="AA129" i="6"/>
  <c r="AA130" i="6"/>
  <c r="AA131" i="6"/>
  <c r="AA132" i="6"/>
  <c r="AA136" i="6"/>
  <c r="AA137" i="6"/>
  <c r="AA138" i="6"/>
  <c r="AA139" i="6"/>
  <c r="AA140" i="6"/>
  <c r="AA141" i="6"/>
  <c r="AA145" i="6"/>
  <c r="AA146" i="6"/>
  <c r="AA147" i="6"/>
  <c r="AA148" i="6"/>
  <c r="AA149" i="6"/>
  <c r="AA150" i="6"/>
  <c r="AA151" i="6"/>
  <c r="AA171" i="6"/>
  <c r="AA172" i="6"/>
  <c r="AA191" i="6"/>
  <c r="Z184" i="6"/>
  <c r="AA179" i="6"/>
  <c r="AA180" i="6"/>
  <c r="AA181" i="6"/>
  <c r="AA182" i="6"/>
  <c r="AA183" i="6"/>
  <c r="AA190" i="6"/>
  <c r="AA188" i="6"/>
  <c r="AA189" i="6"/>
  <c r="AA192" i="6"/>
  <c r="AB106" i="6"/>
  <c r="AB111" i="6"/>
  <c r="AB186" i="6"/>
  <c r="AB166" i="6"/>
  <c r="AB167" i="6"/>
  <c r="AB169" i="6"/>
  <c r="AB122" i="6"/>
  <c r="AC105" i="6"/>
  <c r="AC128" i="6"/>
  <c r="AB129" i="6"/>
  <c r="AB130" i="6"/>
  <c r="AB131" i="6"/>
  <c r="AB132" i="6"/>
  <c r="AB136" i="6"/>
  <c r="AB137" i="6"/>
  <c r="AB138" i="6"/>
  <c r="AB139" i="6"/>
  <c r="AB140" i="6"/>
  <c r="AB141" i="6"/>
  <c r="AB145" i="6"/>
  <c r="AB146" i="6"/>
  <c r="AB147" i="6"/>
  <c r="AB148" i="6"/>
  <c r="AB149" i="6"/>
  <c r="AB150" i="6"/>
  <c r="AB151" i="6"/>
  <c r="AB171" i="6"/>
  <c r="AB172" i="6"/>
  <c r="AB191" i="6"/>
  <c r="AA184" i="6"/>
  <c r="AB179" i="6"/>
  <c r="AB180" i="6"/>
  <c r="AB181" i="6"/>
  <c r="AB182" i="6"/>
  <c r="AB183" i="6"/>
  <c r="AB190" i="6"/>
  <c r="AB188" i="6"/>
  <c r="AB189" i="6"/>
  <c r="AB192" i="6"/>
  <c r="AC106" i="6"/>
  <c r="AC111" i="6"/>
  <c r="AC186" i="6"/>
  <c r="AC166" i="6"/>
  <c r="AC167" i="6"/>
  <c r="AC169" i="6"/>
  <c r="AC122" i="6"/>
  <c r="AD105" i="6"/>
  <c r="AD128" i="6"/>
  <c r="AC129" i="6"/>
  <c r="AC130" i="6"/>
  <c r="AC131" i="6"/>
  <c r="AC132" i="6"/>
  <c r="AC136" i="6"/>
  <c r="AC137" i="6"/>
  <c r="AC138" i="6"/>
  <c r="AC139" i="6"/>
  <c r="AC140" i="6"/>
  <c r="AC141" i="6"/>
  <c r="AC145" i="6"/>
  <c r="AC146" i="6"/>
  <c r="AC147" i="6"/>
  <c r="AC148" i="6"/>
  <c r="AC149" i="6"/>
  <c r="AC150" i="6"/>
  <c r="AC151" i="6"/>
  <c r="AC171" i="6"/>
  <c r="AC172" i="6"/>
  <c r="AC191" i="6"/>
  <c r="AB184" i="6"/>
  <c r="AC179" i="6"/>
  <c r="AC180" i="6"/>
  <c r="AC181" i="6"/>
  <c r="AC182" i="6"/>
  <c r="AC183" i="6"/>
  <c r="AC190" i="6"/>
  <c r="AC188" i="6"/>
  <c r="AC189" i="6"/>
  <c r="AC192" i="6"/>
  <c r="AD106" i="6"/>
  <c r="AD111" i="6"/>
  <c r="AD186" i="6"/>
  <c r="AD166" i="6"/>
  <c r="AD167" i="6"/>
  <c r="AD169" i="6"/>
  <c r="AD122" i="6"/>
  <c r="AE105" i="6"/>
  <c r="AE128" i="6"/>
  <c r="AD129" i="6"/>
  <c r="AD130" i="6"/>
  <c r="AD131" i="6"/>
  <c r="AD132" i="6"/>
  <c r="AD136" i="6"/>
  <c r="AD137" i="6"/>
  <c r="AD138" i="6"/>
  <c r="AD139" i="6"/>
  <c r="AD140" i="6"/>
  <c r="AD141" i="6"/>
  <c r="AD145" i="6"/>
  <c r="AD146" i="6"/>
  <c r="AD147" i="6"/>
  <c r="AD148" i="6"/>
  <c r="AD149" i="6"/>
  <c r="AD150" i="6"/>
  <c r="AD151" i="6"/>
  <c r="AD171" i="6"/>
  <c r="AD172" i="6"/>
  <c r="AD191" i="6"/>
  <c r="AC184" i="6"/>
  <c r="AD179" i="6"/>
  <c r="AD180" i="6"/>
  <c r="AD181" i="6"/>
  <c r="AD182" i="6"/>
  <c r="AD183" i="6"/>
  <c r="AD190" i="6"/>
  <c r="AD188" i="6"/>
  <c r="AD189" i="6"/>
  <c r="AD192" i="6"/>
  <c r="AE106" i="6"/>
  <c r="AE111" i="6"/>
  <c r="AE186" i="6"/>
  <c r="AE166" i="6"/>
  <c r="AE167" i="6"/>
  <c r="AE169" i="6"/>
  <c r="AE122" i="6"/>
  <c r="AF105" i="6"/>
  <c r="AF128" i="6"/>
  <c r="AE129" i="6"/>
  <c r="AE130" i="6"/>
  <c r="AE131" i="6"/>
  <c r="AE132" i="6"/>
  <c r="AE136" i="6"/>
  <c r="AE137" i="6"/>
  <c r="AE138" i="6"/>
  <c r="AE139" i="6"/>
  <c r="AE140" i="6"/>
  <c r="AE141" i="6"/>
  <c r="AE145" i="6"/>
  <c r="AE146" i="6"/>
  <c r="AE147" i="6"/>
  <c r="AE148" i="6"/>
  <c r="AE149" i="6"/>
  <c r="AE150" i="6"/>
  <c r="AE151" i="6"/>
  <c r="AE171" i="6"/>
  <c r="AE172" i="6"/>
  <c r="AE191" i="6"/>
  <c r="AD184" i="6"/>
  <c r="AE179" i="6"/>
  <c r="AE180" i="6"/>
  <c r="AE181" i="6"/>
  <c r="AE182" i="6"/>
  <c r="AE183" i="6"/>
  <c r="AE190" i="6"/>
  <c r="AE188" i="6"/>
  <c r="AE189" i="6"/>
  <c r="AE192" i="6"/>
  <c r="AF106" i="6"/>
  <c r="AF111" i="6"/>
  <c r="AF186" i="6"/>
  <c r="AF166" i="6"/>
  <c r="AF167" i="6"/>
  <c r="AF169" i="6"/>
  <c r="AF122" i="6"/>
  <c r="AG105" i="6"/>
  <c r="AG128" i="6"/>
  <c r="AF129" i="6"/>
  <c r="AF130" i="6"/>
  <c r="AF131" i="6"/>
  <c r="AF132" i="6"/>
  <c r="AF136" i="6"/>
  <c r="AF137" i="6"/>
  <c r="AF138" i="6"/>
  <c r="AF139" i="6"/>
  <c r="AF140" i="6"/>
  <c r="AF141" i="6"/>
  <c r="AF145" i="6"/>
  <c r="AF146" i="6"/>
  <c r="AF147" i="6"/>
  <c r="AF148" i="6"/>
  <c r="AF149" i="6"/>
  <c r="AF150" i="6"/>
  <c r="AF151" i="6"/>
  <c r="AF171" i="6"/>
  <c r="AF172" i="6"/>
  <c r="AF191" i="6"/>
  <c r="AE184" i="6"/>
  <c r="AF179" i="6"/>
  <c r="AF180" i="6"/>
  <c r="AF181" i="6"/>
  <c r="AF182" i="6"/>
  <c r="AF183" i="6"/>
  <c r="AF190" i="6"/>
  <c r="AF188" i="6"/>
  <c r="AF189" i="6"/>
  <c r="AF192" i="6"/>
  <c r="AG106" i="6"/>
  <c r="AG111" i="6"/>
  <c r="AG186" i="6"/>
  <c r="AG166" i="6"/>
  <c r="AG167" i="6"/>
  <c r="AG169" i="6"/>
  <c r="AG122" i="6"/>
  <c r="AH105" i="6"/>
  <c r="AH128" i="6"/>
  <c r="AG129" i="6"/>
  <c r="AG130" i="6"/>
  <c r="AG131" i="6"/>
  <c r="AG132" i="6"/>
  <c r="AG136" i="6"/>
  <c r="AG137" i="6"/>
  <c r="AG138" i="6"/>
  <c r="AG139" i="6"/>
  <c r="AG140" i="6"/>
  <c r="AG141" i="6"/>
  <c r="AG145" i="6"/>
  <c r="AG146" i="6"/>
  <c r="AG147" i="6"/>
  <c r="AG148" i="6"/>
  <c r="AG149" i="6"/>
  <c r="AG150" i="6"/>
  <c r="AG151" i="6"/>
  <c r="AG171" i="6"/>
  <c r="AG172" i="6"/>
  <c r="AG191" i="6"/>
  <c r="AF184" i="6"/>
  <c r="AG179" i="6"/>
  <c r="AG180" i="6"/>
  <c r="AG181" i="6"/>
  <c r="AG182" i="6"/>
  <c r="AG183" i="6"/>
  <c r="AG190" i="6"/>
  <c r="AG188" i="6"/>
  <c r="AG189" i="6"/>
  <c r="AG192" i="6"/>
  <c r="AH106" i="6"/>
  <c r="AH111" i="6"/>
  <c r="AH186" i="6"/>
  <c r="AH166" i="6"/>
  <c r="AH167" i="6"/>
  <c r="AH169" i="6"/>
  <c r="AH122" i="6"/>
  <c r="AI105" i="6"/>
  <c r="AI128" i="6"/>
  <c r="AH129" i="6"/>
  <c r="AH130" i="6"/>
  <c r="AH131" i="6"/>
  <c r="AH132" i="6"/>
  <c r="AH136" i="6"/>
  <c r="AH137" i="6"/>
  <c r="AH138" i="6"/>
  <c r="AH139" i="6"/>
  <c r="AH140" i="6"/>
  <c r="AH141" i="6"/>
  <c r="AH145" i="6"/>
  <c r="AH146" i="6"/>
  <c r="AH147" i="6"/>
  <c r="AH148" i="6"/>
  <c r="AH149" i="6"/>
  <c r="AH150" i="6"/>
  <c r="AH151" i="6"/>
  <c r="AH171" i="6"/>
  <c r="AH172" i="6"/>
  <c r="AH191" i="6"/>
  <c r="AG184" i="6"/>
  <c r="AH179" i="6"/>
  <c r="AH180" i="6"/>
  <c r="AH181" i="6"/>
  <c r="AH182" i="6"/>
  <c r="AH183" i="6"/>
  <c r="AH190" i="6"/>
  <c r="AH188" i="6"/>
  <c r="AH189" i="6"/>
  <c r="AH192" i="6"/>
  <c r="AI106" i="6"/>
  <c r="AI111" i="6"/>
  <c r="AI186" i="6"/>
  <c r="AI166" i="6"/>
  <c r="AI167" i="6"/>
  <c r="AI169" i="6"/>
  <c r="AI122" i="6"/>
  <c r="AJ105" i="6"/>
  <c r="AJ128" i="6"/>
  <c r="AI129" i="6"/>
  <c r="AI130" i="6"/>
  <c r="AI131" i="6"/>
  <c r="AI132" i="6"/>
  <c r="AI136" i="6"/>
  <c r="AI137" i="6"/>
  <c r="AI138" i="6"/>
  <c r="AI139" i="6"/>
  <c r="AI140" i="6"/>
  <c r="AI141" i="6"/>
  <c r="AI145" i="6"/>
  <c r="AI146" i="6"/>
  <c r="AI147" i="6"/>
  <c r="AI148" i="6"/>
  <c r="AI149" i="6"/>
  <c r="AI150" i="6"/>
  <c r="AI151" i="6"/>
  <c r="AI171" i="6"/>
  <c r="AI172" i="6"/>
  <c r="AI191" i="6"/>
  <c r="AH184" i="6"/>
  <c r="AI179" i="6"/>
  <c r="AI180" i="6"/>
  <c r="AI181" i="6"/>
  <c r="AI182" i="6"/>
  <c r="AI183" i="6"/>
  <c r="AI190" i="6"/>
  <c r="AI188" i="6"/>
  <c r="AI189" i="6"/>
  <c r="AI192" i="6"/>
  <c r="AJ106" i="6"/>
  <c r="AJ111" i="6"/>
  <c r="AJ186" i="6"/>
  <c r="AJ166" i="6"/>
  <c r="AJ167" i="6"/>
  <c r="AJ169" i="6"/>
  <c r="AJ122" i="6"/>
  <c r="AK105" i="6"/>
  <c r="AK128" i="6"/>
  <c r="AJ129" i="6"/>
  <c r="AJ130" i="6"/>
  <c r="AJ131" i="6"/>
  <c r="AJ132" i="6"/>
  <c r="AJ136" i="6"/>
  <c r="AJ137" i="6"/>
  <c r="AJ138" i="6"/>
  <c r="AJ139" i="6"/>
  <c r="AJ140" i="6"/>
  <c r="AJ141" i="6"/>
  <c r="AJ145" i="6"/>
  <c r="AJ146" i="6"/>
  <c r="AJ147" i="6"/>
  <c r="AJ148" i="6"/>
  <c r="AJ149" i="6"/>
  <c r="AJ150" i="6"/>
  <c r="AJ151" i="6"/>
  <c r="AJ171" i="6"/>
  <c r="AJ172" i="6"/>
  <c r="AJ191" i="6"/>
  <c r="AI184" i="6"/>
  <c r="AJ179" i="6"/>
  <c r="AJ180" i="6"/>
  <c r="AJ181" i="6"/>
  <c r="AJ182" i="6"/>
  <c r="AJ183" i="6"/>
  <c r="AJ190" i="6"/>
  <c r="AJ188" i="6"/>
  <c r="AJ189" i="6"/>
  <c r="AJ192" i="6"/>
  <c r="AK106" i="6"/>
  <c r="AK111" i="6"/>
  <c r="AK186" i="6"/>
  <c r="AK166" i="6"/>
  <c r="AK167" i="6"/>
  <c r="AK169" i="6"/>
  <c r="AK122" i="6"/>
  <c r="AL105" i="6"/>
  <c r="AL128" i="6"/>
  <c r="AK129" i="6"/>
  <c r="AK130" i="6"/>
  <c r="AK131" i="6"/>
  <c r="AK132" i="6"/>
  <c r="AK136" i="6"/>
  <c r="AK137" i="6"/>
  <c r="AK138" i="6"/>
  <c r="AK139" i="6"/>
  <c r="AK140" i="6"/>
  <c r="AK141" i="6"/>
  <c r="AK145" i="6"/>
  <c r="AK146" i="6"/>
  <c r="AK147" i="6"/>
  <c r="AK148" i="6"/>
  <c r="AK149" i="6"/>
  <c r="AK150" i="6"/>
  <c r="AK151" i="6"/>
  <c r="AK171" i="6"/>
  <c r="AK172" i="6"/>
  <c r="AK191" i="6"/>
  <c r="AJ184" i="6"/>
  <c r="AK179" i="6"/>
  <c r="AK180" i="6"/>
  <c r="AK181" i="6"/>
  <c r="AK182" i="6"/>
  <c r="AK183" i="6"/>
  <c r="AK190" i="6"/>
  <c r="AK188" i="6"/>
  <c r="AK189" i="6"/>
  <c r="AK192" i="6"/>
  <c r="AL106" i="6"/>
  <c r="AL111" i="6"/>
  <c r="AL186" i="6"/>
  <c r="AL166" i="6"/>
  <c r="AL167" i="6"/>
  <c r="AL169" i="6"/>
  <c r="AL122" i="6"/>
  <c r="AM105" i="6"/>
  <c r="AM128" i="6"/>
  <c r="AL129" i="6"/>
  <c r="AL130" i="6"/>
  <c r="AL131" i="6"/>
  <c r="AL132" i="6"/>
  <c r="AL136" i="6"/>
  <c r="AL137" i="6"/>
  <c r="AL138" i="6"/>
  <c r="AL139" i="6"/>
  <c r="AL140" i="6"/>
  <c r="AL141" i="6"/>
  <c r="AL145" i="6"/>
  <c r="AL146" i="6"/>
  <c r="AL147" i="6"/>
  <c r="AL148" i="6"/>
  <c r="AL149" i="6"/>
  <c r="AL150" i="6"/>
  <c r="AL151" i="6"/>
  <c r="AL171" i="6"/>
  <c r="AL172" i="6"/>
  <c r="AL191" i="6"/>
  <c r="AK184" i="6"/>
  <c r="AL179" i="6"/>
  <c r="AL180" i="6"/>
  <c r="AL181" i="6"/>
  <c r="AL182" i="6"/>
  <c r="AL183" i="6"/>
  <c r="AL190" i="6"/>
  <c r="AL188" i="6"/>
  <c r="AL189" i="6"/>
  <c r="AL192" i="6"/>
  <c r="AM106" i="6"/>
  <c r="AM111" i="6"/>
  <c r="AM186" i="6"/>
  <c r="AM166" i="6"/>
  <c r="AM167" i="6"/>
  <c r="AM169" i="6"/>
  <c r="AM122" i="6"/>
  <c r="AN105" i="6"/>
  <c r="AN128" i="6"/>
  <c r="AM129" i="6"/>
  <c r="AM130" i="6"/>
  <c r="AM131" i="6"/>
  <c r="AM132" i="6"/>
  <c r="AM136" i="6"/>
  <c r="AM137" i="6"/>
  <c r="AM138" i="6"/>
  <c r="AM139" i="6"/>
  <c r="AM140" i="6"/>
  <c r="AM141" i="6"/>
  <c r="AM145" i="6"/>
  <c r="AM146" i="6"/>
  <c r="AM147" i="6"/>
  <c r="AM148" i="6"/>
  <c r="AM149" i="6"/>
  <c r="AM150" i="6"/>
  <c r="AM151" i="6"/>
  <c r="AM171" i="6"/>
  <c r="AM172" i="6"/>
  <c r="AM191" i="6"/>
  <c r="AL184" i="6"/>
  <c r="AM179" i="6"/>
  <c r="AM180" i="6"/>
  <c r="AM181" i="6"/>
  <c r="AM182" i="6"/>
  <c r="AM183" i="6"/>
  <c r="AM190" i="6"/>
  <c r="AM188" i="6"/>
  <c r="AM189" i="6"/>
  <c r="AM192" i="6"/>
  <c r="AN106" i="6"/>
  <c r="AN111" i="6"/>
  <c r="AN186" i="6"/>
  <c r="AN166" i="6"/>
  <c r="AN167" i="6"/>
  <c r="AN169" i="6"/>
  <c r="AN122" i="6"/>
  <c r="AO105" i="6"/>
  <c r="AO128" i="6"/>
  <c r="AN129" i="6"/>
  <c r="AN130" i="6"/>
  <c r="AN131" i="6"/>
  <c r="AN132" i="6"/>
  <c r="AN136" i="6"/>
  <c r="AN137" i="6"/>
  <c r="AN138" i="6"/>
  <c r="AN139" i="6"/>
  <c r="AN140" i="6"/>
  <c r="AN141" i="6"/>
  <c r="AN145" i="6"/>
  <c r="AN146" i="6"/>
  <c r="AN147" i="6"/>
  <c r="AN148" i="6"/>
  <c r="AN149" i="6"/>
  <c r="AN150" i="6"/>
  <c r="AN151" i="6"/>
  <c r="AN171" i="6"/>
  <c r="AN172" i="6"/>
  <c r="AN191" i="6"/>
  <c r="AM184" i="6"/>
  <c r="AN179" i="6"/>
  <c r="AN180" i="6"/>
  <c r="AN181" i="6"/>
  <c r="AN182" i="6"/>
  <c r="AN183" i="6"/>
  <c r="AN190" i="6"/>
  <c r="AN188" i="6"/>
  <c r="AN189" i="6"/>
  <c r="AN192" i="6"/>
  <c r="AO106" i="6"/>
  <c r="AO111" i="6"/>
  <c r="AO186" i="6"/>
  <c r="AO166" i="6"/>
  <c r="AO167" i="6"/>
  <c r="AO169" i="6"/>
  <c r="AO122" i="6"/>
  <c r="AP105" i="6"/>
  <c r="AP128" i="6"/>
  <c r="AO129" i="6"/>
  <c r="AO130" i="6"/>
  <c r="AO131" i="6"/>
  <c r="AO132" i="6"/>
  <c r="AO136" i="6"/>
  <c r="AO137" i="6"/>
  <c r="AO138" i="6"/>
  <c r="AO139" i="6"/>
  <c r="AO140" i="6"/>
  <c r="AO141" i="6"/>
  <c r="AO145" i="6"/>
  <c r="AO146" i="6"/>
  <c r="AO147" i="6"/>
  <c r="AO148" i="6"/>
  <c r="AO149" i="6"/>
  <c r="AO150" i="6"/>
  <c r="AO151" i="6"/>
  <c r="AO171" i="6"/>
  <c r="AO172" i="6"/>
  <c r="AO191" i="6"/>
  <c r="AN184" i="6"/>
  <c r="AO179" i="6"/>
  <c r="AO180" i="6"/>
  <c r="AO181" i="6"/>
  <c r="AO182" i="6"/>
  <c r="AO183" i="6"/>
  <c r="AO190" i="6"/>
  <c r="AO188" i="6"/>
  <c r="AO189" i="6"/>
  <c r="AO192" i="6"/>
  <c r="AP106" i="6"/>
  <c r="AP111" i="6"/>
  <c r="AP186" i="6"/>
  <c r="AP166" i="6"/>
  <c r="AP167" i="6"/>
  <c r="AP169" i="6"/>
  <c r="AP122" i="6"/>
  <c r="AQ105" i="6"/>
  <c r="AQ128" i="6"/>
  <c r="AP129" i="6"/>
  <c r="AP130" i="6"/>
  <c r="AP131" i="6"/>
  <c r="AP132" i="6"/>
  <c r="AP136" i="6"/>
  <c r="AP137" i="6"/>
  <c r="AP138" i="6"/>
  <c r="AP139" i="6"/>
  <c r="AP140" i="6"/>
  <c r="AP141" i="6"/>
  <c r="AP145" i="6"/>
  <c r="AP146" i="6"/>
  <c r="AP147" i="6"/>
  <c r="AP148" i="6"/>
  <c r="AP149" i="6"/>
  <c r="AP150" i="6"/>
  <c r="AP151" i="6"/>
  <c r="AP171" i="6"/>
  <c r="AP172" i="6"/>
  <c r="AP191" i="6"/>
  <c r="AO184" i="6"/>
  <c r="AP179" i="6"/>
  <c r="AP180" i="6"/>
  <c r="AP181" i="6"/>
  <c r="AP182" i="6"/>
  <c r="AP183" i="6"/>
  <c r="AP190" i="6"/>
  <c r="AP188" i="6"/>
  <c r="AP189" i="6"/>
  <c r="AP192" i="6"/>
  <c r="AQ106" i="6"/>
  <c r="AQ111" i="6"/>
  <c r="AQ186" i="6"/>
  <c r="AQ166" i="6"/>
  <c r="AQ167" i="6"/>
  <c r="AQ169" i="6"/>
  <c r="AQ122" i="6"/>
  <c r="AR105" i="6"/>
  <c r="AR128" i="6"/>
  <c r="AQ129" i="6"/>
  <c r="AQ130" i="6"/>
  <c r="AQ131" i="6"/>
  <c r="AQ132" i="6"/>
  <c r="AQ136" i="6"/>
  <c r="AQ137" i="6"/>
  <c r="AQ138" i="6"/>
  <c r="AQ139" i="6"/>
  <c r="AQ140" i="6"/>
  <c r="AQ141" i="6"/>
  <c r="AQ145" i="6"/>
  <c r="AQ146" i="6"/>
  <c r="AQ147" i="6"/>
  <c r="AQ148" i="6"/>
  <c r="AQ149" i="6"/>
  <c r="AQ150" i="6"/>
  <c r="AQ151" i="6"/>
  <c r="AQ171" i="6"/>
  <c r="AQ172" i="6"/>
  <c r="AQ191" i="6"/>
  <c r="AP184" i="6"/>
  <c r="AQ179" i="6"/>
  <c r="AQ180" i="6"/>
  <c r="AQ181" i="6"/>
  <c r="AQ182" i="6"/>
  <c r="AQ183" i="6"/>
  <c r="AQ190" i="6"/>
  <c r="AQ188" i="6"/>
  <c r="AQ189" i="6"/>
  <c r="AQ192" i="6"/>
  <c r="AR106" i="6"/>
  <c r="AR111" i="6"/>
  <c r="AR186" i="6"/>
  <c r="AR166" i="6"/>
  <c r="AR167" i="6"/>
  <c r="AR169" i="6"/>
  <c r="AR122" i="6"/>
  <c r="AS105" i="6"/>
  <c r="AS128" i="6"/>
  <c r="AR129" i="6"/>
  <c r="AR130" i="6"/>
  <c r="AR131" i="6"/>
  <c r="AR132" i="6"/>
  <c r="AR136" i="6"/>
  <c r="AR137" i="6"/>
  <c r="AR138" i="6"/>
  <c r="AR139" i="6"/>
  <c r="AR140" i="6"/>
  <c r="AR141" i="6"/>
  <c r="AR145" i="6"/>
  <c r="AR146" i="6"/>
  <c r="AR147" i="6"/>
  <c r="AR148" i="6"/>
  <c r="AR149" i="6"/>
  <c r="AR150" i="6"/>
  <c r="AR151" i="6"/>
  <c r="AR171" i="6"/>
  <c r="AR172" i="6"/>
  <c r="AR191" i="6"/>
  <c r="AQ184" i="6"/>
  <c r="AR179" i="6"/>
  <c r="AR180" i="6"/>
  <c r="AR181" i="6"/>
  <c r="AR182" i="6"/>
  <c r="AR183" i="6"/>
  <c r="AR190" i="6"/>
  <c r="AR188" i="6"/>
  <c r="AR189" i="6"/>
  <c r="AR192" i="6"/>
  <c r="AS106" i="6"/>
  <c r="AS111" i="6"/>
  <c r="AS186" i="6"/>
  <c r="AS166" i="6"/>
  <c r="AS167" i="6"/>
  <c r="AS169" i="6"/>
  <c r="AS122" i="6"/>
  <c r="AT105" i="6"/>
  <c r="AT128" i="6"/>
  <c r="AS129" i="6"/>
  <c r="AS130" i="6"/>
  <c r="AS131" i="6"/>
  <c r="AS132" i="6"/>
  <c r="AS136" i="6"/>
  <c r="AS137" i="6"/>
  <c r="AS138" i="6"/>
  <c r="AS139" i="6"/>
  <c r="AS140" i="6"/>
  <c r="AS141" i="6"/>
  <c r="AS145" i="6"/>
  <c r="AS146" i="6"/>
  <c r="AS147" i="6"/>
  <c r="AS148" i="6"/>
  <c r="AS149" i="6"/>
  <c r="AS150" i="6"/>
  <c r="AS151" i="6"/>
  <c r="AS171" i="6"/>
  <c r="AS172" i="6"/>
  <c r="AS191" i="6"/>
  <c r="AR184" i="6"/>
  <c r="AS179" i="6"/>
  <c r="AS180" i="6"/>
  <c r="AS181" i="6"/>
  <c r="AS182" i="6"/>
  <c r="AS183" i="6"/>
  <c r="AS190" i="6"/>
  <c r="AS188" i="6"/>
  <c r="AS189" i="6"/>
  <c r="AS192" i="6"/>
  <c r="AT106" i="6"/>
  <c r="AT111" i="6"/>
  <c r="AT186" i="6"/>
  <c r="AT166" i="6"/>
  <c r="AT167" i="6"/>
  <c r="AT169" i="6"/>
  <c r="AT122" i="6"/>
  <c r="AU105" i="6"/>
  <c r="AU128" i="6"/>
  <c r="AT129" i="6"/>
  <c r="AT130" i="6"/>
  <c r="AT131" i="6"/>
  <c r="AT132" i="6"/>
  <c r="AT136" i="6"/>
  <c r="AT137" i="6"/>
  <c r="AT138" i="6"/>
  <c r="AT139" i="6"/>
  <c r="AT140" i="6"/>
  <c r="AT141" i="6"/>
  <c r="AT145" i="6"/>
  <c r="AT146" i="6"/>
  <c r="AT147" i="6"/>
  <c r="AT148" i="6"/>
  <c r="AT149" i="6"/>
  <c r="AT150" i="6"/>
  <c r="AT151" i="6"/>
  <c r="AT171" i="6"/>
  <c r="AT172" i="6"/>
  <c r="AT191" i="6"/>
  <c r="AS184" i="6"/>
  <c r="AT179" i="6"/>
  <c r="AT180" i="6"/>
  <c r="AT181" i="6"/>
  <c r="AT182" i="6"/>
  <c r="AT183" i="6"/>
  <c r="AT190" i="6"/>
  <c r="AT188" i="6"/>
  <c r="AT189" i="6"/>
  <c r="AT192" i="6"/>
  <c r="AU106" i="6"/>
  <c r="AU111" i="6"/>
  <c r="AU186" i="6"/>
  <c r="AU166" i="6"/>
  <c r="AU167" i="6"/>
  <c r="AU169" i="6"/>
  <c r="AU122" i="6"/>
  <c r="AV105" i="6"/>
  <c r="AV128" i="6"/>
  <c r="AU129" i="6"/>
  <c r="AU130" i="6"/>
  <c r="AU131" i="6"/>
  <c r="AU132" i="6"/>
  <c r="AU136" i="6"/>
  <c r="AU137" i="6"/>
  <c r="AU138" i="6"/>
  <c r="AU139" i="6"/>
  <c r="AU140" i="6"/>
  <c r="AU141" i="6"/>
  <c r="AU145" i="6"/>
  <c r="AU146" i="6"/>
  <c r="AU147" i="6"/>
  <c r="AU148" i="6"/>
  <c r="AU149" i="6"/>
  <c r="AU150" i="6"/>
  <c r="AU151" i="6"/>
  <c r="AU171" i="6"/>
  <c r="AU172" i="6"/>
  <c r="AU191" i="6"/>
  <c r="AT184" i="6"/>
  <c r="AU179" i="6"/>
  <c r="AU180" i="6"/>
  <c r="AU181" i="6"/>
  <c r="AU182" i="6"/>
  <c r="AU183" i="6"/>
  <c r="AU190" i="6"/>
  <c r="AU188" i="6"/>
  <c r="AU189" i="6"/>
  <c r="AU192" i="6"/>
  <c r="AV106" i="6"/>
  <c r="AV111" i="6"/>
  <c r="AV186" i="6"/>
  <c r="AV166" i="6"/>
  <c r="AV167" i="6"/>
  <c r="AV169" i="6"/>
  <c r="AV122" i="6"/>
  <c r="AW105" i="6"/>
  <c r="AW128" i="6"/>
  <c r="AV129" i="6"/>
  <c r="AV130" i="6"/>
  <c r="AV131" i="6"/>
  <c r="AV132" i="6"/>
  <c r="AV136" i="6"/>
  <c r="AV137" i="6"/>
  <c r="AV138" i="6"/>
  <c r="AV139" i="6"/>
  <c r="AV140" i="6"/>
  <c r="AV141" i="6"/>
  <c r="AV145" i="6"/>
  <c r="AV146" i="6"/>
  <c r="AV147" i="6"/>
  <c r="AV148" i="6"/>
  <c r="AV149" i="6"/>
  <c r="AV150" i="6"/>
  <c r="AV151" i="6"/>
  <c r="AV171" i="6"/>
  <c r="AV172" i="6"/>
  <c r="AV191" i="6"/>
  <c r="AU184" i="6"/>
  <c r="AV179" i="6"/>
  <c r="AV180" i="6"/>
  <c r="AV181" i="6"/>
  <c r="AV182" i="6"/>
  <c r="AV183" i="6"/>
  <c r="AV190" i="6"/>
  <c r="AV188" i="6"/>
  <c r="AV189" i="6"/>
  <c r="AV192" i="6"/>
  <c r="AW106" i="6"/>
  <c r="AW111" i="6"/>
  <c r="AW186" i="6"/>
  <c r="AW166" i="6"/>
  <c r="AW167" i="6"/>
  <c r="AW169" i="6"/>
  <c r="AW122" i="6"/>
  <c r="AX105" i="6"/>
  <c r="AX128" i="6"/>
  <c r="AW129" i="6"/>
  <c r="AW130" i="6"/>
  <c r="AW131" i="6"/>
  <c r="AW132" i="6"/>
  <c r="AW136" i="6"/>
  <c r="AW137" i="6"/>
  <c r="AW138" i="6"/>
  <c r="AW139" i="6"/>
  <c r="AW140" i="6"/>
  <c r="AW141" i="6"/>
  <c r="AW145" i="6"/>
  <c r="AW146" i="6"/>
  <c r="AW147" i="6"/>
  <c r="AW148" i="6"/>
  <c r="AW149" i="6"/>
  <c r="AW150" i="6"/>
  <c r="AW151" i="6"/>
  <c r="AW171" i="6"/>
  <c r="AW172" i="6"/>
  <c r="AW191" i="6"/>
  <c r="AV184" i="6"/>
  <c r="AW179" i="6"/>
  <c r="AW180" i="6"/>
  <c r="AW181" i="6"/>
  <c r="AW182" i="6"/>
  <c r="AW183" i="6"/>
  <c r="AW190" i="6"/>
  <c r="AW188" i="6"/>
  <c r="AW189" i="6"/>
  <c r="AW192" i="6"/>
  <c r="AX106" i="6"/>
  <c r="AX111" i="6"/>
  <c r="AX186" i="6"/>
  <c r="AX166" i="6"/>
  <c r="AX167" i="6"/>
  <c r="AX169" i="6"/>
  <c r="AX122" i="6"/>
  <c r="AY105" i="6"/>
  <c r="AY128" i="6"/>
  <c r="AX129" i="6"/>
  <c r="AX130" i="6"/>
  <c r="AX131" i="6"/>
  <c r="AX132" i="6"/>
  <c r="AX136" i="6"/>
  <c r="AX137" i="6"/>
  <c r="AX138" i="6"/>
  <c r="AX139" i="6"/>
  <c r="AX140" i="6"/>
  <c r="AX141" i="6"/>
  <c r="AX145" i="6"/>
  <c r="AX146" i="6"/>
  <c r="AX147" i="6"/>
  <c r="AX148" i="6"/>
  <c r="AX149" i="6"/>
  <c r="AX150" i="6"/>
  <c r="AX151" i="6"/>
  <c r="AX171" i="6"/>
  <c r="AX172" i="6"/>
  <c r="AX191" i="6"/>
  <c r="AW184" i="6"/>
  <c r="AX179" i="6"/>
  <c r="AX180" i="6"/>
  <c r="AX181" i="6"/>
  <c r="AX182" i="6"/>
  <c r="AX183" i="6"/>
  <c r="AX190" i="6"/>
  <c r="AX188" i="6"/>
  <c r="AX189" i="6"/>
  <c r="AX192" i="6"/>
  <c r="AY106" i="6"/>
  <c r="AY111" i="6"/>
  <c r="AY186" i="6"/>
  <c r="AY166" i="6"/>
  <c r="AY167" i="6"/>
  <c r="AY169" i="6"/>
  <c r="AY122" i="6"/>
  <c r="AY129" i="6"/>
  <c r="AY130" i="6"/>
  <c r="AY131" i="6"/>
  <c r="AY132" i="6"/>
  <c r="AY136" i="6"/>
  <c r="AY137" i="6"/>
  <c r="AY138" i="6"/>
  <c r="AY139" i="6"/>
  <c r="AY140" i="6"/>
  <c r="AY141" i="6"/>
  <c r="AY145" i="6"/>
  <c r="AY146" i="6"/>
  <c r="AY147" i="6"/>
  <c r="AY148" i="6"/>
  <c r="AY149" i="6"/>
  <c r="AY150" i="6"/>
  <c r="AY151" i="6"/>
  <c r="AY171" i="6"/>
  <c r="AY172" i="6"/>
  <c r="AY191" i="6"/>
  <c r="AX184" i="6"/>
  <c r="AY179" i="6"/>
  <c r="AY180" i="6"/>
  <c r="AY181" i="6"/>
  <c r="AY182" i="6"/>
  <c r="AY183" i="6"/>
  <c r="AY190" i="6"/>
  <c r="AY188" i="6"/>
  <c r="AY189" i="6"/>
  <c r="AY192" i="6"/>
  <c r="D190" i="6"/>
  <c r="D128" i="6"/>
  <c r="D131" i="6"/>
  <c r="D132" i="6"/>
  <c r="D140" i="6"/>
  <c r="D141" i="6"/>
  <c r="D151" i="6"/>
  <c r="D167" i="6"/>
  <c r="D171" i="6"/>
  <c r="D111" i="6"/>
  <c r="D169" i="6"/>
  <c r="D172" i="6"/>
  <c r="D191" i="6"/>
  <c r="D186" i="6"/>
  <c r="D188" i="6"/>
  <c r="D189" i="6"/>
  <c r="D192" i="6"/>
  <c r="A191" i="6"/>
  <c r="B191" i="6"/>
  <c r="C191" i="6"/>
  <c r="D215" i="6"/>
  <c r="J107" i="6"/>
  <c r="D156" i="6"/>
  <c r="E156" i="6"/>
  <c r="F156" i="6"/>
  <c r="G156" i="6"/>
  <c r="H156" i="6"/>
  <c r="I156" i="6"/>
  <c r="I157" i="6"/>
  <c r="I107" i="6"/>
  <c r="H157" i="6"/>
  <c r="I158" i="6"/>
  <c r="I160" i="6"/>
  <c r="I208" i="6"/>
  <c r="I206" i="6"/>
  <c r="I207" i="6"/>
  <c r="D196" i="6"/>
  <c r="D197" i="6"/>
  <c r="D200" i="6"/>
  <c r="E195" i="6"/>
  <c r="E196" i="6"/>
  <c r="E197" i="6"/>
  <c r="E200" i="6"/>
  <c r="F195" i="6"/>
  <c r="F196" i="6"/>
  <c r="F197" i="6"/>
  <c r="F200" i="6"/>
  <c r="G195" i="6"/>
  <c r="G196" i="6"/>
  <c r="G197" i="6"/>
  <c r="G200" i="6"/>
  <c r="H195" i="6"/>
  <c r="H196" i="6"/>
  <c r="H197" i="6"/>
  <c r="H200" i="6"/>
  <c r="I195" i="6"/>
  <c r="I196" i="6"/>
  <c r="I197" i="6"/>
  <c r="I199" i="6"/>
  <c r="I202" i="6"/>
  <c r="I209" i="6"/>
  <c r="I210" i="6"/>
  <c r="J206" i="6"/>
  <c r="K107" i="6"/>
  <c r="J156" i="6"/>
  <c r="J157" i="6"/>
  <c r="J158" i="6"/>
  <c r="J160" i="6"/>
  <c r="J208" i="6"/>
  <c r="J196" i="6"/>
  <c r="I200" i="6"/>
  <c r="J195" i="6"/>
  <c r="J197" i="6"/>
  <c r="E198" i="6"/>
  <c r="F198" i="6"/>
  <c r="G198" i="6"/>
  <c r="H198" i="6"/>
  <c r="I198" i="6"/>
  <c r="J198" i="6"/>
  <c r="J199" i="6"/>
  <c r="J202" i="6"/>
  <c r="J209" i="6"/>
  <c r="J207" i="6"/>
  <c r="J210" i="6"/>
  <c r="K206" i="6"/>
  <c r="L107" i="6"/>
  <c r="K156" i="6"/>
  <c r="K157" i="6"/>
  <c r="K158" i="6"/>
  <c r="K160" i="6"/>
  <c r="K208" i="6"/>
  <c r="J200" i="6"/>
  <c r="K195" i="6"/>
  <c r="K196" i="6"/>
  <c r="K197" i="6"/>
  <c r="K198" i="6"/>
  <c r="K199" i="6"/>
  <c r="K202" i="6"/>
  <c r="K209" i="6"/>
  <c r="K207" i="6"/>
  <c r="K210" i="6"/>
  <c r="L206" i="6"/>
  <c r="M107" i="6"/>
  <c r="L156" i="6"/>
  <c r="L157" i="6"/>
  <c r="L158" i="6"/>
  <c r="L160" i="6"/>
  <c r="L208" i="6"/>
  <c r="K200" i="6"/>
  <c r="L195" i="6"/>
  <c r="L196" i="6"/>
  <c r="L197" i="6"/>
  <c r="L198" i="6"/>
  <c r="L199" i="6"/>
  <c r="L202" i="6"/>
  <c r="L209" i="6"/>
  <c r="L207" i="6"/>
  <c r="L210" i="6"/>
  <c r="M206" i="6"/>
  <c r="N107" i="6"/>
  <c r="M156" i="6"/>
  <c r="M157" i="6"/>
  <c r="M158" i="6"/>
  <c r="M160" i="6"/>
  <c r="M208" i="6"/>
  <c r="L200" i="6"/>
  <c r="M195" i="6"/>
  <c r="M196" i="6"/>
  <c r="M197" i="6"/>
  <c r="M198" i="6"/>
  <c r="M199" i="6"/>
  <c r="M202" i="6"/>
  <c r="M209" i="6"/>
  <c r="M207" i="6"/>
  <c r="M210" i="6"/>
  <c r="N206" i="6"/>
  <c r="O107" i="6"/>
  <c r="N156" i="6"/>
  <c r="N157" i="6"/>
  <c r="N158" i="6"/>
  <c r="N160" i="6"/>
  <c r="N208" i="6"/>
  <c r="M200" i="6"/>
  <c r="N195" i="6"/>
  <c r="N196" i="6"/>
  <c r="N197" i="6"/>
  <c r="N198" i="6"/>
  <c r="N199" i="6"/>
  <c r="N202" i="6"/>
  <c r="N209" i="6"/>
  <c r="N207" i="6"/>
  <c r="N210" i="6"/>
  <c r="O206" i="6"/>
  <c r="P107" i="6"/>
  <c r="O156" i="6"/>
  <c r="O157" i="6"/>
  <c r="O158" i="6"/>
  <c r="O160" i="6"/>
  <c r="O208" i="6"/>
  <c r="N200" i="6"/>
  <c r="O195" i="6"/>
  <c r="O196" i="6"/>
  <c r="O197" i="6"/>
  <c r="O198" i="6"/>
  <c r="O199" i="6"/>
  <c r="O202" i="6"/>
  <c r="O209" i="6"/>
  <c r="O207" i="6"/>
  <c r="O210" i="6"/>
  <c r="P206" i="6"/>
  <c r="Q107" i="6"/>
  <c r="P156" i="6"/>
  <c r="P157" i="6"/>
  <c r="P158" i="6"/>
  <c r="P160" i="6"/>
  <c r="P208" i="6"/>
  <c r="O200" i="6"/>
  <c r="P195" i="6"/>
  <c r="P196" i="6"/>
  <c r="P197" i="6"/>
  <c r="P198" i="6"/>
  <c r="P199" i="6"/>
  <c r="P202" i="6"/>
  <c r="P209" i="6"/>
  <c r="P207" i="6"/>
  <c r="P210" i="6"/>
  <c r="Q206" i="6"/>
  <c r="R107" i="6"/>
  <c r="Q156" i="6"/>
  <c r="Q157" i="6"/>
  <c r="Q158" i="6"/>
  <c r="Q160" i="6"/>
  <c r="Q208" i="6"/>
  <c r="P200" i="6"/>
  <c r="Q195" i="6"/>
  <c r="Q196" i="6"/>
  <c r="Q197" i="6"/>
  <c r="Q198" i="6"/>
  <c r="Q199" i="6"/>
  <c r="Q202" i="6"/>
  <c r="Q209" i="6"/>
  <c r="Q207" i="6"/>
  <c r="Q210" i="6"/>
  <c r="R206" i="6"/>
  <c r="S107" i="6"/>
  <c r="R156" i="6"/>
  <c r="R157" i="6"/>
  <c r="R158" i="6"/>
  <c r="R160" i="6"/>
  <c r="R208" i="6"/>
  <c r="Q200" i="6"/>
  <c r="R195" i="6"/>
  <c r="R196" i="6"/>
  <c r="R197" i="6"/>
  <c r="R198" i="6"/>
  <c r="R199" i="6"/>
  <c r="R202" i="6"/>
  <c r="R209" i="6"/>
  <c r="R207" i="6"/>
  <c r="R210" i="6"/>
  <c r="S206" i="6"/>
  <c r="T107" i="6"/>
  <c r="S156" i="6"/>
  <c r="S157" i="6"/>
  <c r="S158" i="6"/>
  <c r="S160" i="6"/>
  <c r="S208" i="6"/>
  <c r="R200" i="6"/>
  <c r="S195" i="6"/>
  <c r="S196" i="6"/>
  <c r="S197" i="6"/>
  <c r="S198" i="6"/>
  <c r="S199" i="6"/>
  <c r="S202" i="6"/>
  <c r="S209" i="6"/>
  <c r="S207" i="6"/>
  <c r="S210" i="6"/>
  <c r="T206" i="6"/>
  <c r="U107" i="6"/>
  <c r="T156" i="6"/>
  <c r="T157" i="6"/>
  <c r="T158" i="6"/>
  <c r="T160" i="6"/>
  <c r="T208" i="6"/>
  <c r="S200" i="6"/>
  <c r="T195" i="6"/>
  <c r="T196" i="6"/>
  <c r="T197" i="6"/>
  <c r="T198" i="6"/>
  <c r="T199" i="6"/>
  <c r="T202" i="6"/>
  <c r="T209" i="6"/>
  <c r="T207" i="6"/>
  <c r="T210" i="6"/>
  <c r="U206" i="6"/>
  <c r="V107" i="6"/>
  <c r="U156" i="6"/>
  <c r="U157" i="6"/>
  <c r="U158" i="6"/>
  <c r="U160" i="6"/>
  <c r="U208" i="6"/>
  <c r="T200" i="6"/>
  <c r="U195" i="6"/>
  <c r="U196" i="6"/>
  <c r="U197" i="6"/>
  <c r="U198" i="6"/>
  <c r="U199" i="6"/>
  <c r="U202" i="6"/>
  <c r="U209" i="6"/>
  <c r="U207" i="6"/>
  <c r="U210" i="6"/>
  <c r="V206" i="6"/>
  <c r="W107" i="6"/>
  <c r="V156" i="6"/>
  <c r="V157" i="6"/>
  <c r="V158" i="6"/>
  <c r="V160" i="6"/>
  <c r="V208" i="6"/>
  <c r="U200" i="6"/>
  <c r="V195" i="6"/>
  <c r="V196" i="6"/>
  <c r="V197" i="6"/>
  <c r="V198" i="6"/>
  <c r="V199" i="6"/>
  <c r="V202" i="6"/>
  <c r="V209" i="6"/>
  <c r="V207" i="6"/>
  <c r="V210" i="6"/>
  <c r="W206" i="6"/>
  <c r="X107" i="6"/>
  <c r="W156" i="6"/>
  <c r="W157" i="6"/>
  <c r="W158" i="6"/>
  <c r="W160" i="6"/>
  <c r="W208" i="6"/>
  <c r="V200" i="6"/>
  <c r="W195" i="6"/>
  <c r="W196" i="6"/>
  <c r="W197" i="6"/>
  <c r="W198" i="6"/>
  <c r="W199" i="6"/>
  <c r="W202" i="6"/>
  <c r="W209" i="6"/>
  <c r="W207" i="6"/>
  <c r="W210" i="6"/>
  <c r="X206" i="6"/>
  <c r="Y107" i="6"/>
  <c r="X156" i="6"/>
  <c r="X157" i="6"/>
  <c r="X158" i="6"/>
  <c r="X160" i="6"/>
  <c r="X208" i="6"/>
  <c r="W200" i="6"/>
  <c r="X195" i="6"/>
  <c r="X196" i="6"/>
  <c r="X197" i="6"/>
  <c r="X198" i="6"/>
  <c r="X199" i="6"/>
  <c r="X202" i="6"/>
  <c r="X209" i="6"/>
  <c r="X207" i="6"/>
  <c r="X210" i="6"/>
  <c r="Y206" i="6"/>
  <c r="Z107" i="6"/>
  <c r="Y156" i="6"/>
  <c r="Y157" i="6"/>
  <c r="Y158" i="6"/>
  <c r="Y160" i="6"/>
  <c r="Y208" i="6"/>
  <c r="X200" i="6"/>
  <c r="Y195" i="6"/>
  <c r="Y196" i="6"/>
  <c r="Y197" i="6"/>
  <c r="Y198" i="6"/>
  <c r="Y199" i="6"/>
  <c r="Y202" i="6"/>
  <c r="Y209" i="6"/>
  <c r="Y207" i="6"/>
  <c r="Y210" i="6"/>
  <c r="Z206" i="6"/>
  <c r="AA107" i="6"/>
  <c r="Z156" i="6"/>
  <c r="Z157" i="6"/>
  <c r="Z158" i="6"/>
  <c r="Z160" i="6"/>
  <c r="Z208" i="6"/>
  <c r="Y200" i="6"/>
  <c r="Z195" i="6"/>
  <c r="Z196" i="6"/>
  <c r="Z197" i="6"/>
  <c r="Z198" i="6"/>
  <c r="Z199" i="6"/>
  <c r="Z202" i="6"/>
  <c r="Z209" i="6"/>
  <c r="Z207" i="6"/>
  <c r="Z210" i="6"/>
  <c r="AA206" i="6"/>
  <c r="AB107" i="6"/>
  <c r="AA156" i="6"/>
  <c r="AA157" i="6"/>
  <c r="AA158" i="6"/>
  <c r="AA160" i="6"/>
  <c r="AA208" i="6"/>
  <c r="Z200" i="6"/>
  <c r="AA195" i="6"/>
  <c r="AA196" i="6"/>
  <c r="AA197" i="6"/>
  <c r="AA198" i="6"/>
  <c r="AA199" i="6"/>
  <c r="AA202" i="6"/>
  <c r="AA209" i="6"/>
  <c r="AA207" i="6"/>
  <c r="AA210" i="6"/>
  <c r="AB206" i="6"/>
  <c r="AC107" i="6"/>
  <c r="AB156" i="6"/>
  <c r="AB157" i="6"/>
  <c r="AB158" i="6"/>
  <c r="AB160" i="6"/>
  <c r="AB208" i="6"/>
  <c r="AA200" i="6"/>
  <c r="AB195" i="6"/>
  <c r="AB196" i="6"/>
  <c r="AB197" i="6"/>
  <c r="AB198" i="6"/>
  <c r="AB199" i="6"/>
  <c r="AB202" i="6"/>
  <c r="AB209" i="6"/>
  <c r="AB207" i="6"/>
  <c r="AB210" i="6"/>
  <c r="AC206" i="6"/>
  <c r="AD107" i="6"/>
  <c r="AC156" i="6"/>
  <c r="AC157" i="6"/>
  <c r="AC158" i="6"/>
  <c r="AC160" i="6"/>
  <c r="AC208" i="6"/>
  <c r="AB200" i="6"/>
  <c r="AC195" i="6"/>
  <c r="AC196" i="6"/>
  <c r="AC197" i="6"/>
  <c r="AC198" i="6"/>
  <c r="AC199" i="6"/>
  <c r="AC202" i="6"/>
  <c r="AC209" i="6"/>
  <c r="AC207" i="6"/>
  <c r="AC210" i="6"/>
  <c r="AD206" i="6"/>
  <c r="AE107" i="6"/>
  <c r="AD156" i="6"/>
  <c r="AD157" i="6"/>
  <c r="AD158" i="6"/>
  <c r="AD160" i="6"/>
  <c r="AD208" i="6"/>
  <c r="AC200" i="6"/>
  <c r="AD195" i="6"/>
  <c r="AD196" i="6"/>
  <c r="AD197" i="6"/>
  <c r="AD198" i="6"/>
  <c r="AD199" i="6"/>
  <c r="AD202" i="6"/>
  <c r="AD209" i="6"/>
  <c r="AD207" i="6"/>
  <c r="AD210" i="6"/>
  <c r="AE206" i="6"/>
  <c r="AF107" i="6"/>
  <c r="AE156" i="6"/>
  <c r="AE157" i="6"/>
  <c r="AE158" i="6"/>
  <c r="AE160" i="6"/>
  <c r="AE208" i="6"/>
  <c r="AD200" i="6"/>
  <c r="AE195" i="6"/>
  <c r="AE196" i="6"/>
  <c r="AE197" i="6"/>
  <c r="AE198" i="6"/>
  <c r="AE199" i="6"/>
  <c r="AE202" i="6"/>
  <c r="AE209" i="6"/>
  <c r="AE207" i="6"/>
  <c r="AE210" i="6"/>
  <c r="AF206" i="6"/>
  <c r="AG107" i="6"/>
  <c r="AF156" i="6"/>
  <c r="AF157" i="6"/>
  <c r="AF158" i="6"/>
  <c r="AF160" i="6"/>
  <c r="AF208" i="6"/>
  <c r="AE200" i="6"/>
  <c r="AF195" i="6"/>
  <c r="AF196" i="6"/>
  <c r="AF197" i="6"/>
  <c r="AF198" i="6"/>
  <c r="AF199" i="6"/>
  <c r="AF202" i="6"/>
  <c r="AF209" i="6"/>
  <c r="AF207" i="6"/>
  <c r="AF210" i="6"/>
  <c r="AG206" i="6"/>
  <c r="AH107" i="6"/>
  <c r="AG156" i="6"/>
  <c r="AG157" i="6"/>
  <c r="AG158" i="6"/>
  <c r="AG160" i="6"/>
  <c r="AG208" i="6"/>
  <c r="AF200" i="6"/>
  <c r="AG195" i="6"/>
  <c r="AG196" i="6"/>
  <c r="AG197" i="6"/>
  <c r="AG198" i="6"/>
  <c r="AG199" i="6"/>
  <c r="AG202" i="6"/>
  <c r="AG209" i="6"/>
  <c r="AG207" i="6"/>
  <c r="AG210" i="6"/>
  <c r="AH206" i="6"/>
  <c r="AI107" i="6"/>
  <c r="AH156" i="6"/>
  <c r="AH157" i="6"/>
  <c r="AH158" i="6"/>
  <c r="AH160" i="6"/>
  <c r="AH208" i="6"/>
  <c r="AG200" i="6"/>
  <c r="AH195" i="6"/>
  <c r="AH196" i="6"/>
  <c r="AH197" i="6"/>
  <c r="AH198" i="6"/>
  <c r="AH199" i="6"/>
  <c r="AH202" i="6"/>
  <c r="AH209" i="6"/>
  <c r="AH207" i="6"/>
  <c r="AH210" i="6"/>
  <c r="AI206" i="6"/>
  <c r="AJ107" i="6"/>
  <c r="AI156" i="6"/>
  <c r="AI157" i="6"/>
  <c r="AI158" i="6"/>
  <c r="AI160" i="6"/>
  <c r="AI208" i="6"/>
  <c r="AH200" i="6"/>
  <c r="AI195" i="6"/>
  <c r="AI196" i="6"/>
  <c r="AI197" i="6"/>
  <c r="AI198" i="6"/>
  <c r="AI199" i="6"/>
  <c r="AI202" i="6"/>
  <c r="AI209" i="6"/>
  <c r="AI207" i="6"/>
  <c r="AI210" i="6"/>
  <c r="AJ206" i="6"/>
  <c r="AK107" i="6"/>
  <c r="AJ156" i="6"/>
  <c r="AJ157" i="6"/>
  <c r="AJ158" i="6"/>
  <c r="AJ160" i="6"/>
  <c r="AJ208" i="6"/>
  <c r="AI200" i="6"/>
  <c r="AJ195" i="6"/>
  <c r="AJ196" i="6"/>
  <c r="AJ197" i="6"/>
  <c r="AJ198" i="6"/>
  <c r="AJ199" i="6"/>
  <c r="AJ202" i="6"/>
  <c r="AJ209" i="6"/>
  <c r="AJ207" i="6"/>
  <c r="AJ210" i="6"/>
  <c r="AK206" i="6"/>
  <c r="AL107" i="6"/>
  <c r="AK156" i="6"/>
  <c r="AK157" i="6"/>
  <c r="AK158" i="6"/>
  <c r="AK160" i="6"/>
  <c r="AK208" i="6"/>
  <c r="AJ200" i="6"/>
  <c r="AK195" i="6"/>
  <c r="AK196" i="6"/>
  <c r="AK197" i="6"/>
  <c r="AK198" i="6"/>
  <c r="AK199" i="6"/>
  <c r="AK202" i="6"/>
  <c r="AK209" i="6"/>
  <c r="AK207" i="6"/>
  <c r="AK210" i="6"/>
  <c r="AL206" i="6"/>
  <c r="AM107" i="6"/>
  <c r="AL156" i="6"/>
  <c r="AL157" i="6"/>
  <c r="AL158" i="6"/>
  <c r="AL160" i="6"/>
  <c r="AL208" i="6"/>
  <c r="AK200" i="6"/>
  <c r="AL195" i="6"/>
  <c r="AL196" i="6"/>
  <c r="AL197" i="6"/>
  <c r="AL198" i="6"/>
  <c r="AL199" i="6"/>
  <c r="AL202" i="6"/>
  <c r="AL209" i="6"/>
  <c r="AL207" i="6"/>
  <c r="AL210" i="6"/>
  <c r="AM206" i="6"/>
  <c r="AN107" i="6"/>
  <c r="AM156" i="6"/>
  <c r="AM157" i="6"/>
  <c r="AM158" i="6"/>
  <c r="AM160" i="6"/>
  <c r="AM208" i="6"/>
  <c r="AL200" i="6"/>
  <c r="AM195" i="6"/>
  <c r="AM196" i="6"/>
  <c r="AM197" i="6"/>
  <c r="AM198" i="6"/>
  <c r="AM199" i="6"/>
  <c r="AM202" i="6"/>
  <c r="AM209" i="6"/>
  <c r="AM207" i="6"/>
  <c r="AM210" i="6"/>
  <c r="AN206" i="6"/>
  <c r="AO107" i="6"/>
  <c r="AN156" i="6"/>
  <c r="AN157" i="6"/>
  <c r="AN158" i="6"/>
  <c r="AN160" i="6"/>
  <c r="AN208" i="6"/>
  <c r="AM200" i="6"/>
  <c r="AN195" i="6"/>
  <c r="AN196" i="6"/>
  <c r="AN197" i="6"/>
  <c r="AN198" i="6"/>
  <c r="AN199" i="6"/>
  <c r="AN202" i="6"/>
  <c r="AN209" i="6"/>
  <c r="AN207" i="6"/>
  <c r="AN210" i="6"/>
  <c r="AO206" i="6"/>
  <c r="AP107" i="6"/>
  <c r="AO156" i="6"/>
  <c r="AO157" i="6"/>
  <c r="AO158" i="6"/>
  <c r="AO160" i="6"/>
  <c r="AO208" i="6"/>
  <c r="AN200" i="6"/>
  <c r="AO195" i="6"/>
  <c r="AO196" i="6"/>
  <c r="AO197" i="6"/>
  <c r="AO198" i="6"/>
  <c r="AO199" i="6"/>
  <c r="AO202" i="6"/>
  <c r="AO209" i="6"/>
  <c r="AO207" i="6"/>
  <c r="AO210" i="6"/>
  <c r="AP206" i="6"/>
  <c r="AQ107" i="6"/>
  <c r="AP156" i="6"/>
  <c r="AP157" i="6"/>
  <c r="AP158" i="6"/>
  <c r="AP160" i="6"/>
  <c r="AP208" i="6"/>
  <c r="AO200" i="6"/>
  <c r="AP195" i="6"/>
  <c r="AP196" i="6"/>
  <c r="AP197" i="6"/>
  <c r="AP198" i="6"/>
  <c r="AP199" i="6"/>
  <c r="AP202" i="6"/>
  <c r="AP209" i="6"/>
  <c r="AP207" i="6"/>
  <c r="AP210" i="6"/>
  <c r="AQ206" i="6"/>
  <c r="AR107" i="6"/>
  <c r="AQ156" i="6"/>
  <c r="AQ157" i="6"/>
  <c r="AQ158" i="6"/>
  <c r="AQ160" i="6"/>
  <c r="AQ208" i="6"/>
  <c r="AP200" i="6"/>
  <c r="AQ195" i="6"/>
  <c r="AQ196" i="6"/>
  <c r="AQ197" i="6"/>
  <c r="AQ198" i="6"/>
  <c r="AQ199" i="6"/>
  <c r="AQ202" i="6"/>
  <c r="AQ209" i="6"/>
  <c r="AQ207" i="6"/>
  <c r="AQ210" i="6"/>
  <c r="AR206" i="6"/>
  <c r="AS107" i="6"/>
  <c r="AR156" i="6"/>
  <c r="AR157" i="6"/>
  <c r="AR158" i="6"/>
  <c r="AR160" i="6"/>
  <c r="AR208" i="6"/>
  <c r="AQ200" i="6"/>
  <c r="AR195" i="6"/>
  <c r="AR196" i="6"/>
  <c r="AR197" i="6"/>
  <c r="AR198" i="6"/>
  <c r="AR199" i="6"/>
  <c r="AR202" i="6"/>
  <c r="AR209" i="6"/>
  <c r="AR207" i="6"/>
  <c r="AR210" i="6"/>
  <c r="AS206" i="6"/>
  <c r="AT107" i="6"/>
  <c r="AS156" i="6"/>
  <c r="AS157" i="6"/>
  <c r="AS158" i="6"/>
  <c r="AS160" i="6"/>
  <c r="AS208" i="6"/>
  <c r="AR200" i="6"/>
  <c r="AS195" i="6"/>
  <c r="AS196" i="6"/>
  <c r="AS197" i="6"/>
  <c r="AS198" i="6"/>
  <c r="AS199" i="6"/>
  <c r="AS202" i="6"/>
  <c r="AS209" i="6"/>
  <c r="AS207" i="6"/>
  <c r="AS210" i="6"/>
  <c r="AT206" i="6"/>
  <c r="AU107" i="6"/>
  <c r="AT156" i="6"/>
  <c r="AT157" i="6"/>
  <c r="AT158" i="6"/>
  <c r="AT160" i="6"/>
  <c r="AT208" i="6"/>
  <c r="AS200" i="6"/>
  <c r="AT195" i="6"/>
  <c r="AT196" i="6"/>
  <c r="AT197" i="6"/>
  <c r="AT198" i="6"/>
  <c r="AT199" i="6"/>
  <c r="AT202" i="6"/>
  <c r="AT209" i="6"/>
  <c r="AT207" i="6"/>
  <c r="AT210" i="6"/>
  <c r="AU206" i="6"/>
  <c r="AV107" i="6"/>
  <c r="AU156" i="6"/>
  <c r="AU157" i="6"/>
  <c r="AU158" i="6"/>
  <c r="AU160" i="6"/>
  <c r="AU208" i="6"/>
  <c r="AT200" i="6"/>
  <c r="AU195" i="6"/>
  <c r="AU196" i="6"/>
  <c r="AU197" i="6"/>
  <c r="AU198" i="6"/>
  <c r="AU199" i="6"/>
  <c r="AU202" i="6"/>
  <c r="AU209" i="6"/>
  <c r="AU207" i="6"/>
  <c r="AU210" i="6"/>
  <c r="AV206" i="6"/>
  <c r="AW107" i="6"/>
  <c r="AV156" i="6"/>
  <c r="AV157" i="6"/>
  <c r="AV158" i="6"/>
  <c r="AV160" i="6"/>
  <c r="AV208" i="6"/>
  <c r="AU200" i="6"/>
  <c r="AV195" i="6"/>
  <c r="AV196" i="6"/>
  <c r="AV197" i="6"/>
  <c r="AV198" i="6"/>
  <c r="AV199" i="6"/>
  <c r="AV202" i="6"/>
  <c r="AV209" i="6"/>
  <c r="AV207" i="6"/>
  <c r="AV210" i="6"/>
  <c r="AW206" i="6"/>
  <c r="AX107" i="6"/>
  <c r="AW156" i="6"/>
  <c r="AW157" i="6"/>
  <c r="AW158" i="6"/>
  <c r="AW160" i="6"/>
  <c r="AW208" i="6"/>
  <c r="AV200" i="6"/>
  <c r="AW195" i="6"/>
  <c r="AW196" i="6"/>
  <c r="AW197" i="6"/>
  <c r="AW198" i="6"/>
  <c r="AW199" i="6"/>
  <c r="AW202" i="6"/>
  <c r="AW209" i="6"/>
  <c r="AW207" i="6"/>
  <c r="AW210" i="6"/>
  <c r="AX206" i="6"/>
  <c r="AY107" i="6"/>
  <c r="AX156" i="6"/>
  <c r="AX157" i="6"/>
  <c r="AX158" i="6"/>
  <c r="AX160" i="6"/>
  <c r="AX208" i="6"/>
  <c r="AW200" i="6"/>
  <c r="AX195" i="6"/>
  <c r="AX196" i="6"/>
  <c r="AX197" i="6"/>
  <c r="AX198" i="6"/>
  <c r="AX199" i="6"/>
  <c r="AX202" i="6"/>
  <c r="AX209" i="6"/>
  <c r="AX207" i="6"/>
  <c r="AX210" i="6"/>
  <c r="AY206" i="6"/>
  <c r="AY157" i="6"/>
  <c r="AY158" i="6"/>
  <c r="AY160" i="6"/>
  <c r="AY208" i="6"/>
  <c r="AX200" i="6"/>
  <c r="AY195" i="6"/>
  <c r="AY196" i="6"/>
  <c r="AY197" i="6"/>
  <c r="AY198" i="6"/>
  <c r="AY199" i="6"/>
  <c r="AY202" i="6"/>
  <c r="AY209" i="6"/>
  <c r="AY207" i="6"/>
  <c r="AY210" i="6"/>
  <c r="E199" i="6"/>
  <c r="E202" i="6"/>
  <c r="F199" i="6"/>
  <c r="F202" i="6"/>
  <c r="G199" i="6"/>
  <c r="G202" i="6"/>
  <c r="H199" i="6"/>
  <c r="H202" i="6"/>
  <c r="D199" i="6"/>
  <c r="D202" i="6"/>
  <c r="C172" i="6"/>
  <c r="C171" i="6"/>
  <c r="C169" i="6"/>
  <c r="K30" i="8"/>
  <c r="K31" i="8"/>
  <c r="K32" i="8"/>
  <c r="K33" i="8"/>
  <c r="K34" i="8"/>
  <c r="D37" i="8"/>
  <c r="D38" i="8"/>
  <c r="E37" i="8"/>
  <c r="E38" i="8"/>
  <c r="F37" i="8"/>
  <c r="F38" i="8"/>
  <c r="G37" i="8"/>
  <c r="G38" i="8"/>
  <c r="H37" i="8"/>
  <c r="H38" i="8"/>
  <c r="I37" i="8"/>
  <c r="I38" i="8"/>
  <c r="J37" i="8"/>
  <c r="J38" i="8"/>
  <c r="K37" i="8"/>
  <c r="K38" i="8"/>
  <c r="K39" i="8"/>
  <c r="D30" i="8"/>
  <c r="D31" i="8"/>
  <c r="E107" i="6"/>
  <c r="D157" i="6"/>
  <c r="D158" i="6"/>
  <c r="D160" i="6"/>
  <c r="D32" i="8"/>
  <c r="D33" i="8"/>
  <c r="D34" i="8"/>
  <c r="D47" i="8"/>
  <c r="E30" i="8"/>
  <c r="E31" i="8"/>
  <c r="F107" i="6"/>
  <c r="E157" i="6"/>
  <c r="E158" i="6"/>
  <c r="E160" i="6"/>
  <c r="E32" i="8"/>
  <c r="E33" i="8"/>
  <c r="E34" i="8"/>
  <c r="E47" i="8"/>
  <c r="F30" i="8"/>
  <c r="F31" i="8"/>
  <c r="G107" i="6"/>
  <c r="F157" i="6"/>
  <c r="F158" i="6"/>
  <c r="F160" i="6"/>
  <c r="F32" i="8"/>
  <c r="F33" i="8"/>
  <c r="F34" i="8"/>
  <c r="F47" i="8"/>
  <c r="G30" i="8"/>
  <c r="G31" i="8"/>
  <c r="H107" i="6"/>
  <c r="G157" i="6"/>
  <c r="G158" i="6"/>
  <c r="G160" i="6"/>
  <c r="G32" i="8"/>
  <c r="G33" i="8"/>
  <c r="G34" i="8"/>
  <c r="G47" i="8"/>
  <c r="H30" i="8"/>
  <c r="H31" i="8"/>
  <c r="H158" i="6"/>
  <c r="H160" i="6"/>
  <c r="H32" i="8"/>
  <c r="H33" i="8"/>
  <c r="H34" i="8"/>
  <c r="H47" i="8"/>
  <c r="I30" i="8"/>
  <c r="I31" i="8"/>
  <c r="I32" i="8"/>
  <c r="I33" i="8"/>
  <c r="I34" i="8"/>
  <c r="I47" i="8"/>
  <c r="J30" i="8"/>
  <c r="J31" i="8"/>
  <c r="J32" i="8"/>
  <c r="J33" i="8"/>
  <c r="J34" i="8"/>
  <c r="E46" i="8"/>
  <c r="F46" i="8"/>
  <c r="G46" i="8"/>
  <c r="H46" i="8"/>
  <c r="I46" i="8"/>
  <c r="J46" i="8"/>
  <c r="J47" i="8"/>
  <c r="K47" i="8"/>
  <c r="K48" i="8"/>
  <c r="D39" i="8"/>
  <c r="D48" i="8"/>
  <c r="D57" i="8"/>
  <c r="D56" i="8"/>
  <c r="D58" i="8"/>
  <c r="D59" i="8"/>
  <c r="D60" i="8"/>
  <c r="E55" i="8"/>
  <c r="E39" i="8"/>
  <c r="E48" i="8"/>
  <c r="E52" i="8"/>
  <c r="E56" i="8"/>
  <c r="E53" i="8"/>
  <c r="E57" i="8"/>
  <c r="E58" i="8"/>
  <c r="E59" i="8"/>
  <c r="E60" i="8"/>
  <c r="F55" i="8"/>
  <c r="F39" i="8"/>
  <c r="F48" i="8"/>
  <c r="F52" i="8"/>
  <c r="F56" i="8"/>
  <c r="F53" i="8"/>
  <c r="F57" i="8"/>
  <c r="F58" i="8"/>
  <c r="F59" i="8"/>
  <c r="F60" i="8"/>
  <c r="G55" i="8"/>
  <c r="G39" i="8"/>
  <c r="G48" i="8"/>
  <c r="G52" i="8"/>
  <c r="G56" i="8"/>
  <c r="G53" i="8"/>
  <c r="G57" i="8"/>
  <c r="G58" i="8"/>
  <c r="G59" i="8"/>
  <c r="G60" i="8"/>
  <c r="H55" i="8"/>
  <c r="H39" i="8"/>
  <c r="H48" i="8"/>
  <c r="H52" i="8"/>
  <c r="H56" i="8"/>
  <c r="H53" i="8"/>
  <c r="H57" i="8"/>
  <c r="H58" i="8"/>
  <c r="H59" i="8"/>
  <c r="H60" i="8"/>
  <c r="I55" i="8"/>
  <c r="I39" i="8"/>
  <c r="I48" i="8"/>
  <c r="I52" i="8"/>
  <c r="I56" i="8"/>
  <c r="I53" i="8"/>
  <c r="I57" i="8"/>
  <c r="I58" i="8"/>
  <c r="I59" i="8"/>
  <c r="I60" i="8"/>
  <c r="J55" i="8"/>
  <c r="J39" i="8"/>
  <c r="J48" i="8"/>
  <c r="J52" i="8"/>
  <c r="J56" i="8"/>
  <c r="J57" i="8"/>
  <c r="J58" i="8"/>
  <c r="J59" i="8"/>
  <c r="J60" i="8"/>
  <c r="K55" i="8"/>
  <c r="K52" i="8"/>
  <c r="K56" i="8"/>
  <c r="K57" i="8"/>
  <c r="K58" i="8"/>
  <c r="K59" i="8"/>
  <c r="B189" i="6"/>
  <c r="B188" i="6"/>
  <c r="A189" i="6"/>
  <c r="A188" i="6"/>
  <c r="C188" i="6"/>
  <c r="C158" i="6"/>
  <c r="AY156" i="6"/>
  <c r="C157" i="6"/>
  <c r="A157" i="6"/>
  <c r="C156" i="6"/>
  <c r="AY100" i="8"/>
  <c r="AX100" i="8"/>
  <c r="AW100" i="8"/>
  <c r="AV100" i="8"/>
  <c r="AU100" i="8"/>
  <c r="AT100" i="8"/>
  <c r="AS100" i="8"/>
  <c r="AR100" i="8"/>
  <c r="AQ100" i="8"/>
  <c r="AP100" i="8"/>
  <c r="AO100" i="8"/>
  <c r="AN100" i="8"/>
  <c r="AM100" i="8"/>
  <c r="AL100" i="8"/>
  <c r="AK100" i="8"/>
  <c r="AJ100" i="8"/>
  <c r="AI100" i="8"/>
  <c r="AH100" i="8"/>
  <c r="AG100" i="8"/>
  <c r="AF100" i="8"/>
  <c r="AE100" i="8"/>
  <c r="AD100" i="8"/>
  <c r="AC100" i="8"/>
  <c r="AB100" i="8"/>
  <c r="AA100" i="8"/>
  <c r="Z100" i="8"/>
  <c r="Y100" i="8"/>
  <c r="X100" i="8"/>
  <c r="W100" i="8"/>
  <c r="V100" i="8"/>
  <c r="U100" i="8"/>
  <c r="T100" i="8"/>
  <c r="S100" i="8"/>
  <c r="R100" i="8"/>
  <c r="Q100" i="8"/>
  <c r="P100" i="8"/>
  <c r="O100" i="8"/>
  <c r="N100" i="8"/>
  <c r="M100" i="8"/>
  <c r="L100" i="8"/>
  <c r="K100" i="8"/>
  <c r="J100" i="8"/>
  <c r="I100" i="8"/>
  <c r="H100" i="8"/>
  <c r="G100" i="8"/>
  <c r="F100" i="8"/>
  <c r="E100" i="8"/>
  <c r="D100" i="8"/>
  <c r="C199" i="6"/>
  <c r="C100" i="8"/>
  <c r="B100" i="8"/>
  <c r="A100" i="8"/>
  <c r="A97" i="8"/>
  <c r="D82" i="8"/>
  <c r="D83" i="8"/>
  <c r="D84" i="8"/>
  <c r="D65" i="8"/>
  <c r="D66" i="8"/>
  <c r="D86" i="8"/>
  <c r="D87" i="8"/>
  <c r="D90" i="8"/>
  <c r="D92" i="8"/>
  <c r="E89" i="8"/>
  <c r="E82" i="8"/>
  <c r="E83" i="8"/>
  <c r="E84" i="8"/>
  <c r="E65" i="8"/>
  <c r="E66" i="8"/>
  <c r="E86" i="8"/>
  <c r="E87" i="8"/>
  <c r="E90" i="8"/>
  <c r="E91" i="8"/>
  <c r="E94" i="8"/>
  <c r="E95" i="8"/>
  <c r="E96" i="8"/>
  <c r="E97" i="8"/>
  <c r="E92" i="8"/>
  <c r="F89" i="8"/>
  <c r="F82" i="8"/>
  <c r="F83" i="8"/>
  <c r="F84" i="8"/>
  <c r="F65" i="8"/>
  <c r="F66" i="8"/>
  <c r="F86" i="8"/>
  <c r="F87" i="8"/>
  <c r="F90" i="8"/>
  <c r="F91" i="8"/>
  <c r="F94" i="8"/>
  <c r="F95" i="8"/>
  <c r="F96" i="8"/>
  <c r="F97" i="8"/>
  <c r="F92" i="8"/>
  <c r="G89" i="8"/>
  <c r="G82" i="8"/>
  <c r="G83" i="8"/>
  <c r="G84" i="8"/>
  <c r="G65" i="8"/>
  <c r="G66" i="8"/>
  <c r="G86" i="8"/>
  <c r="G87" i="8"/>
  <c r="G90" i="8"/>
  <c r="G91" i="8"/>
  <c r="G94" i="8"/>
  <c r="G95" i="8"/>
  <c r="G96" i="8"/>
  <c r="G97" i="8"/>
  <c r="G92" i="8"/>
  <c r="H89" i="8"/>
  <c r="H82" i="8"/>
  <c r="H83" i="8"/>
  <c r="H84" i="8"/>
  <c r="H65" i="8"/>
  <c r="H66" i="8"/>
  <c r="H86" i="8"/>
  <c r="H87" i="8"/>
  <c r="H90" i="8"/>
  <c r="H91" i="8"/>
  <c r="H94" i="8"/>
  <c r="H95" i="8"/>
  <c r="H96" i="8"/>
  <c r="H97" i="8"/>
  <c r="H92" i="8"/>
  <c r="I89" i="8"/>
  <c r="I82" i="8"/>
  <c r="I83" i="8"/>
  <c r="I84" i="8"/>
  <c r="I65" i="8"/>
  <c r="I66" i="8"/>
  <c r="I86" i="8"/>
  <c r="I87" i="8"/>
  <c r="I90" i="8"/>
  <c r="I91" i="8"/>
  <c r="I94" i="8"/>
  <c r="I95" i="8"/>
  <c r="I96" i="8"/>
  <c r="I97" i="8"/>
  <c r="I92" i="8"/>
  <c r="J89" i="8"/>
  <c r="J82" i="8"/>
  <c r="J83" i="8"/>
  <c r="J84" i="8"/>
  <c r="J65" i="8"/>
  <c r="J66" i="8"/>
  <c r="J86" i="8"/>
  <c r="J87" i="8"/>
  <c r="J90" i="8"/>
  <c r="J91" i="8"/>
  <c r="J94" i="8"/>
  <c r="J95" i="8"/>
  <c r="J96" i="8"/>
  <c r="J97" i="8"/>
  <c r="J92" i="8"/>
  <c r="K89" i="8"/>
  <c r="K82" i="8"/>
  <c r="K83" i="8"/>
  <c r="K84" i="8"/>
  <c r="K60" i="8"/>
  <c r="K65" i="8"/>
  <c r="K66" i="8"/>
  <c r="K86" i="8"/>
  <c r="K87" i="8"/>
  <c r="K90" i="8"/>
  <c r="K91" i="8"/>
  <c r="K94" i="8"/>
  <c r="K95" i="8"/>
  <c r="K96" i="8"/>
  <c r="K97" i="8"/>
  <c r="K92" i="8"/>
  <c r="L89" i="8"/>
  <c r="L82" i="8"/>
  <c r="L37" i="8"/>
  <c r="L38" i="8"/>
  <c r="L83" i="8"/>
  <c r="L84" i="8"/>
  <c r="L55" i="8"/>
  <c r="L30" i="8"/>
  <c r="L31" i="8"/>
  <c r="L32" i="8"/>
  <c r="L33" i="8"/>
  <c r="L34" i="8"/>
  <c r="L39" i="8"/>
  <c r="L47" i="8"/>
  <c r="L48" i="8"/>
  <c r="L52" i="8"/>
  <c r="L56" i="8"/>
  <c r="L57" i="8"/>
  <c r="L58" i="8"/>
  <c r="L59" i="8"/>
  <c r="L60" i="8"/>
  <c r="L65" i="8"/>
  <c r="L66" i="8"/>
  <c r="L86" i="8"/>
  <c r="L87" i="8"/>
  <c r="L90" i="8"/>
  <c r="L91" i="8"/>
  <c r="L94" i="8"/>
  <c r="L95" i="8"/>
  <c r="L96" i="8"/>
  <c r="L97" i="8"/>
  <c r="L92" i="8"/>
  <c r="M89" i="8"/>
  <c r="M82" i="8"/>
  <c r="M37" i="8"/>
  <c r="M38" i="8"/>
  <c r="M83" i="8"/>
  <c r="M84" i="8"/>
  <c r="M55" i="8"/>
  <c r="M30" i="8"/>
  <c r="M31" i="8"/>
  <c r="M32" i="8"/>
  <c r="M33" i="8"/>
  <c r="M34" i="8"/>
  <c r="M39" i="8"/>
  <c r="M47" i="8"/>
  <c r="M48" i="8"/>
  <c r="M52" i="8"/>
  <c r="M56" i="8"/>
  <c r="M57" i="8"/>
  <c r="M58" i="8"/>
  <c r="M59" i="8"/>
  <c r="M60" i="8"/>
  <c r="M65" i="8"/>
  <c r="M66" i="8"/>
  <c r="M86" i="8"/>
  <c r="M87" i="8"/>
  <c r="M90" i="8"/>
  <c r="M91" i="8"/>
  <c r="M94" i="8"/>
  <c r="M95" i="8"/>
  <c r="M96" i="8"/>
  <c r="M97" i="8"/>
  <c r="M92" i="8"/>
  <c r="N89" i="8"/>
  <c r="N82" i="8"/>
  <c r="N37" i="8"/>
  <c r="N38" i="8"/>
  <c r="N83" i="8"/>
  <c r="N84" i="8"/>
  <c r="N55" i="8"/>
  <c r="N30" i="8"/>
  <c r="N31" i="8"/>
  <c r="N32" i="8"/>
  <c r="N33" i="8"/>
  <c r="N34" i="8"/>
  <c r="N39" i="8"/>
  <c r="N47" i="8"/>
  <c r="N48" i="8"/>
  <c r="N52" i="8"/>
  <c r="N56" i="8"/>
  <c r="N57" i="8"/>
  <c r="N58" i="8"/>
  <c r="N59" i="8"/>
  <c r="N60" i="8"/>
  <c r="N65" i="8"/>
  <c r="N66" i="8"/>
  <c r="N86" i="8"/>
  <c r="N87" i="8"/>
  <c r="N90" i="8"/>
  <c r="N91" i="8"/>
  <c r="N94" i="8"/>
  <c r="N95" i="8"/>
  <c r="N96" i="8"/>
  <c r="N97" i="8"/>
  <c r="N92" i="8"/>
  <c r="O89" i="8"/>
  <c r="O82" i="8"/>
  <c r="O37" i="8"/>
  <c r="O38" i="8"/>
  <c r="O83" i="8"/>
  <c r="O84" i="8"/>
  <c r="O55" i="8"/>
  <c r="O30" i="8"/>
  <c r="O31" i="8"/>
  <c r="O32" i="8"/>
  <c r="O33" i="8"/>
  <c r="O34" i="8"/>
  <c r="O39" i="8"/>
  <c r="O47" i="8"/>
  <c r="O48" i="8"/>
  <c r="O52" i="8"/>
  <c r="O56" i="8"/>
  <c r="O57" i="8"/>
  <c r="O58" i="8"/>
  <c r="O59" i="8"/>
  <c r="O60" i="8"/>
  <c r="O65" i="8"/>
  <c r="O66" i="8"/>
  <c r="O86" i="8"/>
  <c r="O87" i="8"/>
  <c r="O90" i="8"/>
  <c r="O91" i="8"/>
  <c r="O94" i="8"/>
  <c r="O95" i="8"/>
  <c r="O96" i="8"/>
  <c r="O97" i="8"/>
  <c r="O92" i="8"/>
  <c r="P89" i="8"/>
  <c r="P82" i="8"/>
  <c r="P37" i="8"/>
  <c r="P38" i="8"/>
  <c r="P83" i="8"/>
  <c r="P84" i="8"/>
  <c r="P55" i="8"/>
  <c r="P30" i="8"/>
  <c r="P31" i="8"/>
  <c r="P32" i="8"/>
  <c r="P33" i="8"/>
  <c r="P34" i="8"/>
  <c r="P39" i="8"/>
  <c r="P47" i="8"/>
  <c r="P48" i="8"/>
  <c r="P56" i="8"/>
  <c r="P57" i="8"/>
  <c r="P58" i="8"/>
  <c r="P59" i="8"/>
  <c r="P60" i="8"/>
  <c r="P65" i="8"/>
  <c r="P66" i="8"/>
  <c r="P86" i="8"/>
  <c r="P87" i="8"/>
  <c r="P90" i="8"/>
  <c r="P91" i="8"/>
  <c r="P94" i="8"/>
  <c r="P95" i="8"/>
  <c r="P96" i="8"/>
  <c r="P97" i="8"/>
  <c r="P92" i="8"/>
  <c r="Q89" i="8"/>
  <c r="Q82" i="8"/>
  <c r="Q37" i="8"/>
  <c r="Q38" i="8"/>
  <c r="Q83" i="8"/>
  <c r="Q84" i="8"/>
  <c r="Q55" i="8"/>
  <c r="Q30" i="8"/>
  <c r="Q31" i="8"/>
  <c r="Q32" i="8"/>
  <c r="Q33" i="8"/>
  <c r="Q34" i="8"/>
  <c r="Q39" i="8"/>
  <c r="Q47" i="8"/>
  <c r="Q48" i="8"/>
  <c r="Q56" i="8"/>
  <c r="Q57" i="8"/>
  <c r="Q58" i="8"/>
  <c r="Q59" i="8"/>
  <c r="Q60" i="8"/>
  <c r="Q65" i="8"/>
  <c r="Q66" i="8"/>
  <c r="Q86" i="8"/>
  <c r="Q87" i="8"/>
  <c r="Q90" i="8"/>
  <c r="Q91" i="8"/>
  <c r="Q94" i="8"/>
  <c r="Q95" i="8"/>
  <c r="Q96" i="8"/>
  <c r="Q97" i="8"/>
  <c r="Q92" i="8"/>
  <c r="R89" i="8"/>
  <c r="R82" i="8"/>
  <c r="R37" i="8"/>
  <c r="R38" i="8"/>
  <c r="R83" i="8"/>
  <c r="R84" i="8"/>
  <c r="R55" i="8"/>
  <c r="R30" i="8"/>
  <c r="R31" i="8"/>
  <c r="R32" i="8"/>
  <c r="R33" i="8"/>
  <c r="R34" i="8"/>
  <c r="R39" i="8"/>
  <c r="R47" i="8"/>
  <c r="R48" i="8"/>
  <c r="R56" i="8"/>
  <c r="R57" i="8"/>
  <c r="R58" i="8"/>
  <c r="R59" i="8"/>
  <c r="R60" i="8"/>
  <c r="R65" i="8"/>
  <c r="R66" i="8"/>
  <c r="R86" i="8"/>
  <c r="R87" i="8"/>
  <c r="R90" i="8"/>
  <c r="R91" i="8"/>
  <c r="R94" i="8"/>
  <c r="R95" i="8"/>
  <c r="R96" i="8"/>
  <c r="R97" i="8"/>
  <c r="R92" i="8"/>
  <c r="S89" i="8"/>
  <c r="S82" i="8"/>
  <c r="S37" i="8"/>
  <c r="S38" i="8"/>
  <c r="S83" i="8"/>
  <c r="S84" i="8"/>
  <c r="S55" i="8"/>
  <c r="S30" i="8"/>
  <c r="S31" i="8"/>
  <c r="S32" i="8"/>
  <c r="S33" i="8"/>
  <c r="S34" i="8"/>
  <c r="S39" i="8"/>
  <c r="S47" i="8"/>
  <c r="S48" i="8"/>
  <c r="S56" i="8"/>
  <c r="S57" i="8"/>
  <c r="S58" i="8"/>
  <c r="S59" i="8"/>
  <c r="S60" i="8"/>
  <c r="S65" i="8"/>
  <c r="S66" i="8"/>
  <c r="S86" i="8"/>
  <c r="S87" i="8"/>
  <c r="S90" i="8"/>
  <c r="S91" i="8"/>
  <c r="S94" i="8"/>
  <c r="S95" i="8"/>
  <c r="S96" i="8"/>
  <c r="S97" i="8"/>
  <c r="S92" i="8"/>
  <c r="T89" i="8"/>
  <c r="T82" i="8"/>
  <c r="T37" i="8"/>
  <c r="T38" i="8"/>
  <c r="T83" i="8"/>
  <c r="T84" i="8"/>
  <c r="T55" i="8"/>
  <c r="T30" i="8"/>
  <c r="T31" i="8"/>
  <c r="T32" i="8"/>
  <c r="T33" i="8"/>
  <c r="T34" i="8"/>
  <c r="T39" i="8"/>
  <c r="T47" i="8"/>
  <c r="T48" i="8"/>
  <c r="T56" i="8"/>
  <c r="T57" i="8"/>
  <c r="T58" i="8"/>
  <c r="T59" i="8"/>
  <c r="T60" i="8"/>
  <c r="T65" i="8"/>
  <c r="T66" i="8"/>
  <c r="T86" i="8"/>
  <c r="T87" i="8"/>
  <c r="T90" i="8"/>
  <c r="T91" i="8"/>
  <c r="T94" i="8"/>
  <c r="T95" i="8"/>
  <c r="T96" i="8"/>
  <c r="T97" i="8"/>
  <c r="T92" i="8"/>
  <c r="U89" i="8"/>
  <c r="U82" i="8"/>
  <c r="U37" i="8"/>
  <c r="U38" i="8"/>
  <c r="U83" i="8"/>
  <c r="U84" i="8"/>
  <c r="U55" i="8"/>
  <c r="U30" i="8"/>
  <c r="U31" i="8"/>
  <c r="U32" i="8"/>
  <c r="U33" i="8"/>
  <c r="U34" i="8"/>
  <c r="U39" i="8"/>
  <c r="U47" i="8"/>
  <c r="U48" i="8"/>
  <c r="U56" i="8"/>
  <c r="U57" i="8"/>
  <c r="U58" i="8"/>
  <c r="U59" i="8"/>
  <c r="U60" i="8"/>
  <c r="U65" i="8"/>
  <c r="U66" i="8"/>
  <c r="U86" i="8"/>
  <c r="U87" i="8"/>
  <c r="U90" i="8"/>
  <c r="U91" i="8"/>
  <c r="U94" i="8"/>
  <c r="U95" i="8"/>
  <c r="U96" i="8"/>
  <c r="U97" i="8"/>
  <c r="U92" i="8"/>
  <c r="V89" i="8"/>
  <c r="V82" i="8"/>
  <c r="V37" i="8"/>
  <c r="V38" i="8"/>
  <c r="V83" i="8"/>
  <c r="V84" i="8"/>
  <c r="V55" i="8"/>
  <c r="V30" i="8"/>
  <c r="V31" i="8"/>
  <c r="V32" i="8"/>
  <c r="V33" i="8"/>
  <c r="V34" i="8"/>
  <c r="V39" i="8"/>
  <c r="V47" i="8"/>
  <c r="V48" i="8"/>
  <c r="V56" i="8"/>
  <c r="V57" i="8"/>
  <c r="V58" i="8"/>
  <c r="V59" i="8"/>
  <c r="V60" i="8"/>
  <c r="V65" i="8"/>
  <c r="V66" i="8"/>
  <c r="V86" i="8"/>
  <c r="V87" i="8"/>
  <c r="V90" i="8"/>
  <c r="V91" i="8"/>
  <c r="V94" i="8"/>
  <c r="V95" i="8"/>
  <c r="V96" i="8"/>
  <c r="V97" i="8"/>
  <c r="V92" i="8"/>
  <c r="W89" i="8"/>
  <c r="W82" i="8"/>
  <c r="W37" i="8"/>
  <c r="W38" i="8"/>
  <c r="W83" i="8"/>
  <c r="W84" i="8"/>
  <c r="W55" i="8"/>
  <c r="W30" i="8"/>
  <c r="W31" i="8"/>
  <c r="W32" i="8"/>
  <c r="W33" i="8"/>
  <c r="W34" i="8"/>
  <c r="W39" i="8"/>
  <c r="W47" i="8"/>
  <c r="W48" i="8"/>
  <c r="W56" i="8"/>
  <c r="W57" i="8"/>
  <c r="W58" i="8"/>
  <c r="W59" i="8"/>
  <c r="W60" i="8"/>
  <c r="W65" i="8"/>
  <c r="W66" i="8"/>
  <c r="W86" i="8"/>
  <c r="W87" i="8"/>
  <c r="W90" i="8"/>
  <c r="W91" i="8"/>
  <c r="W94" i="8"/>
  <c r="W95" i="8"/>
  <c r="W96" i="8"/>
  <c r="W97" i="8"/>
  <c r="W92" i="8"/>
  <c r="X89" i="8"/>
  <c r="X82" i="8"/>
  <c r="X37" i="8"/>
  <c r="X38" i="8"/>
  <c r="X83" i="8"/>
  <c r="X84" i="8"/>
  <c r="X55" i="8"/>
  <c r="X30" i="8"/>
  <c r="X31" i="8"/>
  <c r="X32" i="8"/>
  <c r="X33" i="8"/>
  <c r="X34" i="8"/>
  <c r="X39" i="8"/>
  <c r="X47" i="8"/>
  <c r="X48" i="8"/>
  <c r="X56" i="8"/>
  <c r="X57" i="8"/>
  <c r="X58" i="8"/>
  <c r="X59" i="8"/>
  <c r="X60" i="8"/>
  <c r="X65" i="8"/>
  <c r="X66" i="8"/>
  <c r="X86" i="8"/>
  <c r="X87" i="8"/>
  <c r="X90" i="8"/>
  <c r="X91" i="8"/>
  <c r="X94" i="8"/>
  <c r="X95" i="8"/>
  <c r="X96" i="8"/>
  <c r="X97" i="8"/>
  <c r="X92" i="8"/>
  <c r="Y89" i="8"/>
  <c r="Y82" i="8"/>
  <c r="Y37" i="8"/>
  <c r="Y38" i="8"/>
  <c r="Y83" i="8"/>
  <c r="Y84" i="8"/>
  <c r="Y55" i="8"/>
  <c r="Y30" i="8"/>
  <c r="Y31" i="8"/>
  <c r="Y32" i="8"/>
  <c r="Y33" i="8"/>
  <c r="Y34" i="8"/>
  <c r="Y39" i="8"/>
  <c r="Y47" i="8"/>
  <c r="Y48" i="8"/>
  <c r="Y56" i="8"/>
  <c r="Y57" i="8"/>
  <c r="Y58" i="8"/>
  <c r="Y59" i="8"/>
  <c r="Y60" i="8"/>
  <c r="Y65" i="8"/>
  <c r="Y66" i="8"/>
  <c r="Y86" i="8"/>
  <c r="Y87" i="8"/>
  <c r="Y90" i="8"/>
  <c r="Y91" i="8"/>
  <c r="Y94" i="8"/>
  <c r="Y95" i="8"/>
  <c r="Y96" i="8"/>
  <c r="Y97" i="8"/>
  <c r="Y92" i="8"/>
  <c r="Z89" i="8"/>
  <c r="Z82" i="8"/>
  <c r="Z37" i="8"/>
  <c r="Z38" i="8"/>
  <c r="Z83" i="8"/>
  <c r="Z84" i="8"/>
  <c r="Z55" i="8"/>
  <c r="Z30" i="8"/>
  <c r="Z31" i="8"/>
  <c r="Z32" i="8"/>
  <c r="Z33" i="8"/>
  <c r="Z34" i="8"/>
  <c r="Z39" i="8"/>
  <c r="Z47" i="8"/>
  <c r="Z48" i="8"/>
  <c r="Z56" i="8"/>
  <c r="Z57" i="8"/>
  <c r="Z58" i="8"/>
  <c r="Z59" i="8"/>
  <c r="Z60" i="8"/>
  <c r="Z65" i="8"/>
  <c r="Z66" i="8"/>
  <c r="Z86" i="8"/>
  <c r="Z87" i="8"/>
  <c r="Z90" i="8"/>
  <c r="Z91" i="8"/>
  <c r="Z94" i="8"/>
  <c r="Z95" i="8"/>
  <c r="Z96" i="8"/>
  <c r="Z97" i="8"/>
  <c r="Z92" i="8"/>
  <c r="AA89" i="8"/>
  <c r="AA82" i="8"/>
  <c r="AA37" i="8"/>
  <c r="AA38" i="8"/>
  <c r="AA83" i="8"/>
  <c r="AA84" i="8"/>
  <c r="AA55" i="8"/>
  <c r="AA30" i="8"/>
  <c r="AA31" i="8"/>
  <c r="AA32" i="8"/>
  <c r="AA33" i="8"/>
  <c r="AA34" i="8"/>
  <c r="AA39" i="8"/>
  <c r="AA47" i="8"/>
  <c r="AA48" i="8"/>
  <c r="AA56" i="8"/>
  <c r="AA57" i="8"/>
  <c r="AA58" i="8"/>
  <c r="AA59" i="8"/>
  <c r="AA60" i="8"/>
  <c r="AA65" i="8"/>
  <c r="AA66" i="8"/>
  <c r="AA86" i="8"/>
  <c r="AA87" i="8"/>
  <c r="AA90" i="8"/>
  <c r="AA91" i="8"/>
  <c r="AA94" i="8"/>
  <c r="AA95" i="8"/>
  <c r="AA96" i="8"/>
  <c r="AA97" i="8"/>
  <c r="AA92" i="8"/>
  <c r="AB89" i="8"/>
  <c r="AB82" i="8"/>
  <c r="AB37" i="8"/>
  <c r="AB38" i="8"/>
  <c r="AB83" i="8"/>
  <c r="AB84" i="8"/>
  <c r="AB55" i="8"/>
  <c r="AB30" i="8"/>
  <c r="AB31" i="8"/>
  <c r="AB32" i="8"/>
  <c r="AB33" i="8"/>
  <c r="AB34" i="8"/>
  <c r="AB39" i="8"/>
  <c r="AB47" i="8"/>
  <c r="AB48" i="8"/>
  <c r="AB56" i="8"/>
  <c r="AB57" i="8"/>
  <c r="AB58" i="8"/>
  <c r="AB59" i="8"/>
  <c r="AB60" i="8"/>
  <c r="AB65" i="8"/>
  <c r="AB66" i="8"/>
  <c r="AB86" i="8"/>
  <c r="AB87" i="8"/>
  <c r="AB90" i="8"/>
  <c r="AB91" i="8"/>
  <c r="AB94" i="8"/>
  <c r="AB95" i="8"/>
  <c r="AB96" i="8"/>
  <c r="AB97" i="8"/>
  <c r="AB92" i="8"/>
  <c r="AC89" i="8"/>
  <c r="AC82" i="8"/>
  <c r="AC37" i="8"/>
  <c r="AC38" i="8"/>
  <c r="AC83" i="8"/>
  <c r="AC84" i="8"/>
  <c r="AC55" i="8"/>
  <c r="AC30" i="8"/>
  <c r="AC31" i="8"/>
  <c r="AC32" i="8"/>
  <c r="AC33" i="8"/>
  <c r="AC34" i="8"/>
  <c r="AC39" i="8"/>
  <c r="AC47" i="8"/>
  <c r="AC48" i="8"/>
  <c r="AC56" i="8"/>
  <c r="AC57" i="8"/>
  <c r="AC58" i="8"/>
  <c r="AC59" i="8"/>
  <c r="AC60" i="8"/>
  <c r="AC65" i="8"/>
  <c r="AC66" i="8"/>
  <c r="AC86" i="8"/>
  <c r="AC87" i="8"/>
  <c r="AC90" i="8"/>
  <c r="AC91" i="8"/>
  <c r="AC94" i="8"/>
  <c r="AC95" i="8"/>
  <c r="AC96" i="8"/>
  <c r="AC97" i="8"/>
  <c r="AC92" i="8"/>
  <c r="AD89" i="8"/>
  <c r="AD82" i="8"/>
  <c r="AD37" i="8"/>
  <c r="AD38" i="8"/>
  <c r="AD83" i="8"/>
  <c r="AD84" i="8"/>
  <c r="AD55" i="8"/>
  <c r="AD30" i="8"/>
  <c r="AD31" i="8"/>
  <c r="AD32" i="8"/>
  <c r="AD33" i="8"/>
  <c r="AD34" i="8"/>
  <c r="AD39" i="8"/>
  <c r="AD47" i="8"/>
  <c r="AD48" i="8"/>
  <c r="AD56" i="8"/>
  <c r="AD57" i="8"/>
  <c r="AD58" i="8"/>
  <c r="AD59" i="8"/>
  <c r="AD60" i="8"/>
  <c r="AD65" i="8"/>
  <c r="AD66" i="8"/>
  <c r="AD86" i="8"/>
  <c r="AD87" i="8"/>
  <c r="AD90" i="8"/>
  <c r="AD91" i="8"/>
  <c r="AD94" i="8"/>
  <c r="AD95" i="8"/>
  <c r="AD96" i="8"/>
  <c r="AD97" i="8"/>
  <c r="AD92" i="8"/>
  <c r="AE89" i="8"/>
  <c r="AE82" i="8"/>
  <c r="AE37" i="8"/>
  <c r="AE38" i="8"/>
  <c r="AE83" i="8"/>
  <c r="AE84" i="8"/>
  <c r="AE55" i="8"/>
  <c r="AE30" i="8"/>
  <c r="AE31" i="8"/>
  <c r="AE32" i="8"/>
  <c r="AE33" i="8"/>
  <c r="AE34" i="8"/>
  <c r="AE39" i="8"/>
  <c r="AE47" i="8"/>
  <c r="AE48" i="8"/>
  <c r="AE56" i="8"/>
  <c r="AE57" i="8"/>
  <c r="AE58" i="8"/>
  <c r="AE59" i="8"/>
  <c r="AE60" i="8"/>
  <c r="AE65" i="8"/>
  <c r="AE66" i="8"/>
  <c r="AE86" i="8"/>
  <c r="AE87" i="8"/>
  <c r="AE90" i="8"/>
  <c r="AE91" i="8"/>
  <c r="AE94" i="8"/>
  <c r="AE95" i="8"/>
  <c r="AE96" i="8"/>
  <c r="AE97" i="8"/>
  <c r="AE92" i="8"/>
  <c r="AF89" i="8"/>
  <c r="AF82" i="8"/>
  <c r="AF37" i="8"/>
  <c r="AF38" i="8"/>
  <c r="AF83" i="8"/>
  <c r="AF84" i="8"/>
  <c r="AF55" i="8"/>
  <c r="AF30" i="8"/>
  <c r="AF31" i="8"/>
  <c r="AF32" i="8"/>
  <c r="AF33" i="8"/>
  <c r="AF34" i="8"/>
  <c r="AF39" i="8"/>
  <c r="AF47" i="8"/>
  <c r="AF48" i="8"/>
  <c r="AF56" i="8"/>
  <c r="AF57" i="8"/>
  <c r="AF58" i="8"/>
  <c r="AF59" i="8"/>
  <c r="AF60" i="8"/>
  <c r="AF65" i="8"/>
  <c r="AF66" i="8"/>
  <c r="AF86" i="8"/>
  <c r="AF87" i="8"/>
  <c r="AF90" i="8"/>
  <c r="AF91" i="8"/>
  <c r="AF94" i="8"/>
  <c r="AF95" i="8"/>
  <c r="AF96" i="8"/>
  <c r="AF97" i="8"/>
  <c r="AF92" i="8"/>
  <c r="AG89" i="8"/>
  <c r="AG82" i="8"/>
  <c r="AG37" i="8"/>
  <c r="AG38" i="8"/>
  <c r="AG83" i="8"/>
  <c r="AG84" i="8"/>
  <c r="AG55" i="8"/>
  <c r="AG30" i="8"/>
  <c r="AG31" i="8"/>
  <c r="AG32" i="8"/>
  <c r="AG33" i="8"/>
  <c r="AG34" i="8"/>
  <c r="AG39" i="8"/>
  <c r="AG47" i="8"/>
  <c r="AG48" i="8"/>
  <c r="AG56" i="8"/>
  <c r="AG57" i="8"/>
  <c r="AG58" i="8"/>
  <c r="AG59" i="8"/>
  <c r="AG60" i="8"/>
  <c r="AG65" i="8"/>
  <c r="AG66" i="8"/>
  <c r="AG86" i="8"/>
  <c r="AG87" i="8"/>
  <c r="AG90" i="8"/>
  <c r="AG91" i="8"/>
  <c r="AG94" i="8"/>
  <c r="AG95" i="8"/>
  <c r="AG96" i="8"/>
  <c r="AG97" i="8"/>
  <c r="AG92" i="8"/>
  <c r="AH89" i="8"/>
  <c r="AH82" i="8"/>
  <c r="AH37" i="8"/>
  <c r="AH38" i="8"/>
  <c r="AH83" i="8"/>
  <c r="AH84" i="8"/>
  <c r="AH55" i="8"/>
  <c r="AH30" i="8"/>
  <c r="AH31" i="8"/>
  <c r="AH32" i="8"/>
  <c r="AH33" i="8"/>
  <c r="AH34" i="8"/>
  <c r="AH39" i="8"/>
  <c r="AH47" i="8"/>
  <c r="AH48" i="8"/>
  <c r="AH56" i="8"/>
  <c r="AH57" i="8"/>
  <c r="AH58" i="8"/>
  <c r="AH59" i="8"/>
  <c r="AH60" i="8"/>
  <c r="AH65" i="8"/>
  <c r="AH66" i="8"/>
  <c r="AH86" i="8"/>
  <c r="AH87" i="8"/>
  <c r="AH90" i="8"/>
  <c r="AH91" i="8"/>
  <c r="AH94" i="8"/>
  <c r="AH95" i="8"/>
  <c r="AH96" i="8"/>
  <c r="AH97" i="8"/>
  <c r="AH92" i="8"/>
  <c r="AI89" i="8"/>
  <c r="AI82" i="8"/>
  <c r="AI37" i="8"/>
  <c r="AI38" i="8"/>
  <c r="AI83" i="8"/>
  <c r="AI84" i="8"/>
  <c r="AI55" i="8"/>
  <c r="AI30" i="8"/>
  <c r="AI31" i="8"/>
  <c r="AI32" i="8"/>
  <c r="AI33" i="8"/>
  <c r="AI34" i="8"/>
  <c r="AI39" i="8"/>
  <c r="AI47" i="8"/>
  <c r="AI48" i="8"/>
  <c r="AI56" i="8"/>
  <c r="AI57" i="8"/>
  <c r="AI58" i="8"/>
  <c r="AI59" i="8"/>
  <c r="AI60" i="8"/>
  <c r="AI65" i="8"/>
  <c r="AI66" i="8"/>
  <c r="AI86" i="8"/>
  <c r="AI87" i="8"/>
  <c r="AI90" i="8"/>
  <c r="AI91" i="8"/>
  <c r="AI94" i="8"/>
  <c r="AI95" i="8"/>
  <c r="AI96" i="8"/>
  <c r="AI97" i="8"/>
  <c r="AI92" i="8"/>
  <c r="AJ89" i="8"/>
  <c r="AJ82" i="8"/>
  <c r="AJ37" i="8"/>
  <c r="AJ38" i="8"/>
  <c r="AJ83" i="8"/>
  <c r="AJ84" i="8"/>
  <c r="AJ55" i="8"/>
  <c r="AJ30" i="8"/>
  <c r="AJ31" i="8"/>
  <c r="AJ32" i="8"/>
  <c r="AJ33" i="8"/>
  <c r="AJ34" i="8"/>
  <c r="AJ39" i="8"/>
  <c r="AJ47" i="8"/>
  <c r="AJ48" i="8"/>
  <c r="AJ56" i="8"/>
  <c r="AJ57" i="8"/>
  <c r="AJ58" i="8"/>
  <c r="AJ59" i="8"/>
  <c r="AJ60" i="8"/>
  <c r="AJ65" i="8"/>
  <c r="AJ66" i="8"/>
  <c r="AJ86" i="8"/>
  <c r="AJ87" i="8"/>
  <c r="AJ90" i="8"/>
  <c r="AJ91" i="8"/>
  <c r="AJ94" i="8"/>
  <c r="AJ95" i="8"/>
  <c r="AJ96" i="8"/>
  <c r="AJ97" i="8"/>
  <c r="AJ92" i="8"/>
  <c r="AK89" i="8"/>
  <c r="AK82" i="8"/>
  <c r="AK37" i="8"/>
  <c r="AK38" i="8"/>
  <c r="AK83" i="8"/>
  <c r="AK84" i="8"/>
  <c r="AK55" i="8"/>
  <c r="AK30" i="8"/>
  <c r="AK31" i="8"/>
  <c r="AK32" i="8"/>
  <c r="AK33" i="8"/>
  <c r="AK34" i="8"/>
  <c r="AK39" i="8"/>
  <c r="AK47" i="8"/>
  <c r="AK48" i="8"/>
  <c r="AK56" i="8"/>
  <c r="AK57" i="8"/>
  <c r="AK58" i="8"/>
  <c r="AK59" i="8"/>
  <c r="AK60" i="8"/>
  <c r="AK65" i="8"/>
  <c r="AK66" i="8"/>
  <c r="AK86" i="8"/>
  <c r="AK87" i="8"/>
  <c r="AK90" i="8"/>
  <c r="AK91" i="8"/>
  <c r="AK94" i="8"/>
  <c r="AK95" i="8"/>
  <c r="AK96" i="8"/>
  <c r="AK97" i="8"/>
  <c r="AK92" i="8"/>
  <c r="AL89" i="8"/>
  <c r="AL82" i="8"/>
  <c r="AL37" i="8"/>
  <c r="AL38" i="8"/>
  <c r="AL83" i="8"/>
  <c r="AL84" i="8"/>
  <c r="AL55" i="8"/>
  <c r="AL30" i="8"/>
  <c r="AL31" i="8"/>
  <c r="AL32" i="8"/>
  <c r="AL33" i="8"/>
  <c r="AL34" i="8"/>
  <c r="AL39" i="8"/>
  <c r="AL47" i="8"/>
  <c r="AL48" i="8"/>
  <c r="AL56" i="8"/>
  <c r="AL57" i="8"/>
  <c r="AL58" i="8"/>
  <c r="AL59" i="8"/>
  <c r="AL60" i="8"/>
  <c r="AL65" i="8"/>
  <c r="AL66" i="8"/>
  <c r="AL86" i="8"/>
  <c r="AL87" i="8"/>
  <c r="AL90" i="8"/>
  <c r="AL91" i="8"/>
  <c r="AL94" i="8"/>
  <c r="AL95" i="8"/>
  <c r="AL96" i="8"/>
  <c r="AL97" i="8"/>
  <c r="AL92" i="8"/>
  <c r="AM89" i="8"/>
  <c r="AM82" i="8"/>
  <c r="AM37" i="8"/>
  <c r="AM38" i="8"/>
  <c r="AM83" i="8"/>
  <c r="AM84" i="8"/>
  <c r="AM55" i="8"/>
  <c r="AM30" i="8"/>
  <c r="AM31" i="8"/>
  <c r="AM32" i="8"/>
  <c r="AM33" i="8"/>
  <c r="AM34" i="8"/>
  <c r="AM39" i="8"/>
  <c r="AM47" i="8"/>
  <c r="AM48" i="8"/>
  <c r="AM56" i="8"/>
  <c r="AM57" i="8"/>
  <c r="AM58" i="8"/>
  <c r="AM59" i="8"/>
  <c r="AM60" i="8"/>
  <c r="AM65" i="8"/>
  <c r="AM66" i="8"/>
  <c r="AM86" i="8"/>
  <c r="AM87" i="8"/>
  <c r="AM90" i="8"/>
  <c r="AM91" i="8"/>
  <c r="AM94" i="8"/>
  <c r="AM95" i="8"/>
  <c r="AM96" i="8"/>
  <c r="AM97" i="8"/>
  <c r="AM92" i="8"/>
  <c r="AN89" i="8"/>
  <c r="AN82" i="8"/>
  <c r="AN37" i="8"/>
  <c r="AN38" i="8"/>
  <c r="AN83" i="8"/>
  <c r="AN84" i="8"/>
  <c r="AN55" i="8"/>
  <c r="AN30" i="8"/>
  <c r="AN31" i="8"/>
  <c r="AN32" i="8"/>
  <c r="AN33" i="8"/>
  <c r="AN34" i="8"/>
  <c r="AN39" i="8"/>
  <c r="AN47" i="8"/>
  <c r="AN48" i="8"/>
  <c r="AN56" i="8"/>
  <c r="AN57" i="8"/>
  <c r="AN58" i="8"/>
  <c r="AN59" i="8"/>
  <c r="AN60" i="8"/>
  <c r="AN65" i="8"/>
  <c r="AN66" i="8"/>
  <c r="AN86" i="8"/>
  <c r="AN87" i="8"/>
  <c r="AN90" i="8"/>
  <c r="AN91" i="8"/>
  <c r="AN94" i="8"/>
  <c r="AN95" i="8"/>
  <c r="AN96" i="8"/>
  <c r="AN97" i="8"/>
  <c r="AN92" i="8"/>
  <c r="AO89" i="8"/>
  <c r="AO82" i="8"/>
  <c r="AO37" i="8"/>
  <c r="AO38" i="8"/>
  <c r="AO83" i="8"/>
  <c r="AO84" i="8"/>
  <c r="AO55" i="8"/>
  <c r="AO30" i="8"/>
  <c r="AO31" i="8"/>
  <c r="AO32" i="8"/>
  <c r="AO33" i="8"/>
  <c r="AO34" i="8"/>
  <c r="AO39" i="8"/>
  <c r="AO47" i="8"/>
  <c r="AO48" i="8"/>
  <c r="AO56" i="8"/>
  <c r="AO57" i="8"/>
  <c r="AO58" i="8"/>
  <c r="AO59" i="8"/>
  <c r="AO60" i="8"/>
  <c r="AO65" i="8"/>
  <c r="AO66" i="8"/>
  <c r="AO86" i="8"/>
  <c r="AO87" i="8"/>
  <c r="AO90" i="8"/>
  <c r="AO91" i="8"/>
  <c r="AO94" i="8"/>
  <c r="AO95" i="8"/>
  <c r="AO96" i="8"/>
  <c r="AO97" i="8"/>
  <c r="AO92" i="8"/>
  <c r="AP89" i="8"/>
  <c r="AP82" i="8"/>
  <c r="AP37" i="8"/>
  <c r="AP38" i="8"/>
  <c r="AP83" i="8"/>
  <c r="AP84" i="8"/>
  <c r="AP55" i="8"/>
  <c r="AP30" i="8"/>
  <c r="AP31" i="8"/>
  <c r="AP32" i="8"/>
  <c r="AP33" i="8"/>
  <c r="AP34" i="8"/>
  <c r="AP39" i="8"/>
  <c r="AP47" i="8"/>
  <c r="AP48" i="8"/>
  <c r="AP56" i="8"/>
  <c r="AP57" i="8"/>
  <c r="AP58" i="8"/>
  <c r="AP59" i="8"/>
  <c r="AP60" i="8"/>
  <c r="AP65" i="8"/>
  <c r="AP66" i="8"/>
  <c r="AP86" i="8"/>
  <c r="AP87" i="8"/>
  <c r="AP90" i="8"/>
  <c r="AP91" i="8"/>
  <c r="AP94" i="8"/>
  <c r="AP95" i="8"/>
  <c r="AP96" i="8"/>
  <c r="AP97" i="8"/>
  <c r="AP92" i="8"/>
  <c r="AQ89" i="8"/>
  <c r="AQ82" i="8"/>
  <c r="AQ37" i="8"/>
  <c r="AQ38" i="8"/>
  <c r="AQ83" i="8"/>
  <c r="AQ84" i="8"/>
  <c r="AQ55" i="8"/>
  <c r="AQ30" i="8"/>
  <c r="AQ31" i="8"/>
  <c r="AQ32" i="8"/>
  <c r="AQ33" i="8"/>
  <c r="AQ34" i="8"/>
  <c r="AQ39" i="8"/>
  <c r="AQ47" i="8"/>
  <c r="AQ48" i="8"/>
  <c r="AQ56" i="8"/>
  <c r="AQ57" i="8"/>
  <c r="AQ58" i="8"/>
  <c r="AQ59" i="8"/>
  <c r="AQ60" i="8"/>
  <c r="AQ65" i="8"/>
  <c r="AQ66" i="8"/>
  <c r="AQ86" i="8"/>
  <c r="AQ87" i="8"/>
  <c r="AQ90" i="8"/>
  <c r="AQ91" i="8"/>
  <c r="AQ94" i="8"/>
  <c r="AQ95" i="8"/>
  <c r="AQ96" i="8"/>
  <c r="AQ97" i="8"/>
  <c r="AQ92" i="8"/>
  <c r="AR89" i="8"/>
  <c r="AR82" i="8"/>
  <c r="AR37" i="8"/>
  <c r="AR38" i="8"/>
  <c r="AR83" i="8"/>
  <c r="AR84" i="8"/>
  <c r="AR55" i="8"/>
  <c r="AR30" i="8"/>
  <c r="AR31" i="8"/>
  <c r="AR32" i="8"/>
  <c r="AR33" i="8"/>
  <c r="AR34" i="8"/>
  <c r="AR39" i="8"/>
  <c r="AR47" i="8"/>
  <c r="AR48" i="8"/>
  <c r="AR56" i="8"/>
  <c r="AR57" i="8"/>
  <c r="AR58" i="8"/>
  <c r="AR59" i="8"/>
  <c r="AR60" i="8"/>
  <c r="AR65" i="8"/>
  <c r="AR66" i="8"/>
  <c r="AR86" i="8"/>
  <c r="AR87" i="8"/>
  <c r="AR90" i="8"/>
  <c r="AR91" i="8"/>
  <c r="AR94" i="8"/>
  <c r="AR95" i="8"/>
  <c r="AR96" i="8"/>
  <c r="AR97" i="8"/>
  <c r="AR92" i="8"/>
  <c r="AS89" i="8"/>
  <c r="AS82" i="8"/>
  <c r="AS37" i="8"/>
  <c r="AS38" i="8"/>
  <c r="AS83" i="8"/>
  <c r="AS84" i="8"/>
  <c r="AS55" i="8"/>
  <c r="AS30" i="8"/>
  <c r="AS31" i="8"/>
  <c r="AS32" i="8"/>
  <c r="AS33" i="8"/>
  <c r="AS34" i="8"/>
  <c r="AS39" i="8"/>
  <c r="AS47" i="8"/>
  <c r="AS48" i="8"/>
  <c r="AS56" i="8"/>
  <c r="AS57" i="8"/>
  <c r="AS58" i="8"/>
  <c r="AS59" i="8"/>
  <c r="AS60" i="8"/>
  <c r="AS65" i="8"/>
  <c r="AS66" i="8"/>
  <c r="AS86" i="8"/>
  <c r="AS87" i="8"/>
  <c r="AS90" i="8"/>
  <c r="AS91" i="8"/>
  <c r="AS94" i="8"/>
  <c r="AS95" i="8"/>
  <c r="AS96" i="8"/>
  <c r="AS97" i="8"/>
  <c r="AS92" i="8"/>
  <c r="AT89" i="8"/>
  <c r="AT82" i="8"/>
  <c r="AT37" i="8"/>
  <c r="AT38" i="8"/>
  <c r="AT83" i="8"/>
  <c r="AT84" i="8"/>
  <c r="AT55" i="8"/>
  <c r="AT30" i="8"/>
  <c r="AT31" i="8"/>
  <c r="AT32" i="8"/>
  <c r="AT33" i="8"/>
  <c r="AT34" i="8"/>
  <c r="AT39" i="8"/>
  <c r="AT47" i="8"/>
  <c r="AT48" i="8"/>
  <c r="AT56" i="8"/>
  <c r="AT57" i="8"/>
  <c r="AT58" i="8"/>
  <c r="AT59" i="8"/>
  <c r="AT60" i="8"/>
  <c r="AT65" i="8"/>
  <c r="AT66" i="8"/>
  <c r="AT86" i="8"/>
  <c r="AT87" i="8"/>
  <c r="AT90" i="8"/>
  <c r="AT91" i="8"/>
  <c r="AT94" i="8"/>
  <c r="AT95" i="8"/>
  <c r="AT96" i="8"/>
  <c r="AT97" i="8"/>
  <c r="AT92" i="8"/>
  <c r="AU89" i="8"/>
  <c r="AU82" i="8"/>
  <c r="AU37" i="8"/>
  <c r="AU38" i="8"/>
  <c r="AU83" i="8"/>
  <c r="AU84" i="8"/>
  <c r="AU55" i="8"/>
  <c r="AU30" i="8"/>
  <c r="AU31" i="8"/>
  <c r="AU32" i="8"/>
  <c r="AU33" i="8"/>
  <c r="AU34" i="8"/>
  <c r="AU39" i="8"/>
  <c r="AU47" i="8"/>
  <c r="AU48" i="8"/>
  <c r="AU56" i="8"/>
  <c r="AU57" i="8"/>
  <c r="AU58" i="8"/>
  <c r="AU59" i="8"/>
  <c r="AU60" i="8"/>
  <c r="AU65" i="8"/>
  <c r="AU66" i="8"/>
  <c r="AU86" i="8"/>
  <c r="AU87" i="8"/>
  <c r="AU90" i="8"/>
  <c r="AU91" i="8"/>
  <c r="AU94" i="8"/>
  <c r="AU95" i="8"/>
  <c r="AU96" i="8"/>
  <c r="AU97" i="8"/>
  <c r="AU92" i="8"/>
  <c r="AV89" i="8"/>
  <c r="AV82" i="8"/>
  <c r="AV37" i="8"/>
  <c r="AV38" i="8"/>
  <c r="AV83" i="8"/>
  <c r="AV84" i="8"/>
  <c r="AV55" i="8"/>
  <c r="AV30" i="8"/>
  <c r="AV31" i="8"/>
  <c r="AV32" i="8"/>
  <c r="AV33" i="8"/>
  <c r="AV34" i="8"/>
  <c r="AV39" i="8"/>
  <c r="AV47" i="8"/>
  <c r="AV48" i="8"/>
  <c r="AV56" i="8"/>
  <c r="AV57" i="8"/>
  <c r="AV58" i="8"/>
  <c r="AV59" i="8"/>
  <c r="AV60" i="8"/>
  <c r="AV65" i="8"/>
  <c r="AV66" i="8"/>
  <c r="AV86" i="8"/>
  <c r="AV87" i="8"/>
  <c r="AV90" i="8"/>
  <c r="AV91" i="8"/>
  <c r="AV94" i="8"/>
  <c r="AV95" i="8"/>
  <c r="AV96" i="8"/>
  <c r="AV97" i="8"/>
  <c r="AV92" i="8"/>
  <c r="AW89" i="8"/>
  <c r="AW82" i="8"/>
  <c r="AW37" i="8"/>
  <c r="AW38" i="8"/>
  <c r="AW83" i="8"/>
  <c r="AW84" i="8"/>
  <c r="AW55" i="8"/>
  <c r="AW30" i="8"/>
  <c r="AW31" i="8"/>
  <c r="AW32" i="8"/>
  <c r="AW33" i="8"/>
  <c r="AW34" i="8"/>
  <c r="AW39" i="8"/>
  <c r="AW47" i="8"/>
  <c r="AW48" i="8"/>
  <c r="AW56" i="8"/>
  <c r="AW57" i="8"/>
  <c r="AW58" i="8"/>
  <c r="AW59" i="8"/>
  <c r="AW60" i="8"/>
  <c r="AW65" i="8"/>
  <c r="AW66" i="8"/>
  <c r="AW86" i="8"/>
  <c r="AW87" i="8"/>
  <c r="AW90" i="8"/>
  <c r="AW91" i="8"/>
  <c r="AW94" i="8"/>
  <c r="AW95" i="8"/>
  <c r="AW96" i="8"/>
  <c r="AW97" i="8"/>
  <c r="AW92" i="8"/>
  <c r="AX89" i="8"/>
  <c r="AX82" i="8"/>
  <c r="AX37" i="8"/>
  <c r="AX38" i="8"/>
  <c r="AX83" i="8"/>
  <c r="AX84" i="8"/>
  <c r="AX55" i="8"/>
  <c r="AX30" i="8"/>
  <c r="AX31" i="8"/>
  <c r="AX32" i="8"/>
  <c r="AX33" i="8"/>
  <c r="AX34" i="8"/>
  <c r="AX39" i="8"/>
  <c r="AX47" i="8"/>
  <c r="AX48" i="8"/>
  <c r="AX56" i="8"/>
  <c r="AX57" i="8"/>
  <c r="AX58" i="8"/>
  <c r="AX59" i="8"/>
  <c r="AX60" i="8"/>
  <c r="AX65" i="8"/>
  <c r="AX66" i="8"/>
  <c r="AX86" i="8"/>
  <c r="AX87" i="8"/>
  <c r="AX90" i="8"/>
  <c r="AX91" i="8"/>
  <c r="AX94" i="8"/>
  <c r="AX95" i="8"/>
  <c r="AX96" i="8"/>
  <c r="AX97" i="8"/>
  <c r="AX92" i="8"/>
  <c r="AY89" i="8"/>
  <c r="AY82" i="8"/>
  <c r="AY37" i="8"/>
  <c r="AY38" i="8"/>
  <c r="AY83" i="8"/>
  <c r="AY84" i="8"/>
  <c r="AY55" i="8"/>
  <c r="AY30" i="8"/>
  <c r="AY31" i="8"/>
  <c r="AY32" i="8"/>
  <c r="AY33" i="8"/>
  <c r="AY34" i="8"/>
  <c r="AY39" i="8"/>
  <c r="AY47" i="8"/>
  <c r="AY48" i="8"/>
  <c r="AY58" i="8"/>
  <c r="AY59" i="8"/>
  <c r="AY60" i="8"/>
  <c r="AY65" i="8"/>
  <c r="AY66" i="8"/>
  <c r="AY86" i="8"/>
  <c r="AY87" i="8"/>
  <c r="AY90" i="8"/>
  <c r="AY91" i="8"/>
  <c r="AY94" i="8"/>
  <c r="AY95" i="8"/>
  <c r="AY96" i="8"/>
  <c r="AY97" i="8"/>
  <c r="D91" i="8"/>
  <c r="D94" i="8"/>
  <c r="D95" i="8"/>
  <c r="D96" i="8"/>
  <c r="D97" i="8"/>
  <c r="C94" i="8"/>
  <c r="B94" i="8"/>
  <c r="A94" i="8"/>
  <c r="C192" i="6"/>
  <c r="C82" i="8"/>
  <c r="B192" i="6"/>
  <c r="B82" i="8"/>
  <c r="A82" i="8"/>
  <c r="J53" i="8"/>
  <c r="K53" i="8"/>
  <c r="L53" i="8"/>
  <c r="M53" i="8"/>
  <c r="N53" i="8"/>
  <c r="O53" i="8"/>
  <c r="D101" i="8"/>
  <c r="E101" i="8"/>
  <c r="F101" i="8"/>
  <c r="G101" i="8"/>
  <c r="H101" i="8"/>
  <c r="I101" i="8"/>
  <c r="J101" i="8"/>
  <c r="K101" i="8"/>
  <c r="L101" i="8"/>
  <c r="M101" i="8"/>
  <c r="N101" i="8"/>
  <c r="O101" i="8"/>
  <c r="P101" i="8"/>
  <c r="Q101" i="8"/>
  <c r="R101" i="8"/>
  <c r="S101" i="8"/>
  <c r="T101" i="8"/>
  <c r="U101" i="8"/>
  <c r="V101" i="8"/>
  <c r="W101" i="8"/>
  <c r="X101" i="8"/>
  <c r="Y101" i="8"/>
  <c r="Z101" i="8"/>
  <c r="AA101" i="8"/>
  <c r="AB101" i="8"/>
  <c r="AC101" i="8"/>
  <c r="AD101" i="8"/>
  <c r="AE101" i="8"/>
  <c r="AF101" i="8"/>
  <c r="AG101" i="8"/>
  <c r="AH101" i="8"/>
  <c r="AI101" i="8"/>
  <c r="AJ101" i="8"/>
  <c r="AK101" i="8"/>
  <c r="AL101" i="8"/>
  <c r="AM101" i="8"/>
  <c r="AN101" i="8"/>
  <c r="AO101" i="8"/>
  <c r="AP101" i="8"/>
  <c r="AQ101" i="8"/>
  <c r="AR101" i="8"/>
  <c r="AS101" i="8"/>
  <c r="AT101" i="8"/>
  <c r="AU101" i="8"/>
  <c r="AV101" i="8"/>
  <c r="AW101" i="8"/>
  <c r="AX101" i="8"/>
  <c r="AY101" i="8"/>
  <c r="C101" i="8"/>
  <c r="C97" i="8"/>
  <c r="C95" i="8"/>
  <c r="C91" i="8"/>
  <c r="C87" i="8"/>
  <c r="C86" i="8"/>
  <c r="C84" i="8"/>
  <c r="D72" i="8"/>
  <c r="D73" i="8"/>
  <c r="D74" i="8"/>
  <c r="D71" i="8"/>
  <c r="D75" i="8"/>
  <c r="E72" i="8"/>
  <c r="E73" i="8"/>
  <c r="E74" i="8"/>
  <c r="E71" i="8"/>
  <c r="E75" i="8"/>
  <c r="F72" i="8"/>
  <c r="F73" i="8"/>
  <c r="F74" i="8"/>
  <c r="F71" i="8"/>
  <c r="F75" i="8"/>
  <c r="G72" i="8"/>
  <c r="G73" i="8"/>
  <c r="G74" i="8"/>
  <c r="G71" i="8"/>
  <c r="G75" i="8"/>
  <c r="H72" i="8"/>
  <c r="H73" i="8"/>
  <c r="H74" i="8"/>
  <c r="H71" i="8"/>
  <c r="H75" i="8"/>
  <c r="I72" i="8"/>
  <c r="I73" i="8"/>
  <c r="I74" i="8"/>
  <c r="I71" i="8"/>
  <c r="I75" i="8"/>
  <c r="J72" i="8"/>
  <c r="J73" i="8"/>
  <c r="J74" i="8"/>
  <c r="J71" i="8"/>
  <c r="J75" i="8"/>
  <c r="K72" i="8"/>
  <c r="K73" i="8"/>
  <c r="K74" i="8"/>
  <c r="K71" i="8"/>
  <c r="K75" i="8"/>
  <c r="L72" i="8"/>
  <c r="L73" i="8"/>
  <c r="L74" i="8"/>
  <c r="L71" i="8"/>
  <c r="L75" i="8"/>
  <c r="M72" i="8"/>
  <c r="M73" i="8"/>
  <c r="M74" i="8"/>
  <c r="M71" i="8"/>
  <c r="M75" i="8"/>
  <c r="N72" i="8"/>
  <c r="N73" i="8"/>
  <c r="N74" i="8"/>
  <c r="N71" i="8"/>
  <c r="N75" i="8"/>
  <c r="O72" i="8"/>
  <c r="O73" i="8"/>
  <c r="O74" i="8"/>
  <c r="O71" i="8"/>
  <c r="O75" i="8"/>
  <c r="P72" i="8"/>
  <c r="P73" i="8"/>
  <c r="P74" i="8"/>
  <c r="P71" i="8"/>
  <c r="P75" i="8"/>
  <c r="Q72" i="8"/>
  <c r="Q73" i="8"/>
  <c r="Q74" i="8"/>
  <c r="Q71" i="8"/>
  <c r="Q75" i="8"/>
  <c r="R72" i="8"/>
  <c r="R73" i="8"/>
  <c r="R74" i="8"/>
  <c r="R71" i="8"/>
  <c r="R75" i="8"/>
  <c r="S72" i="8"/>
  <c r="S73" i="8"/>
  <c r="S74" i="8"/>
  <c r="S71" i="8"/>
  <c r="S75" i="8"/>
  <c r="T72" i="8"/>
  <c r="T73" i="8"/>
  <c r="T74" i="8"/>
  <c r="T71" i="8"/>
  <c r="T75" i="8"/>
  <c r="U72" i="8"/>
  <c r="U73" i="8"/>
  <c r="U74" i="8"/>
  <c r="U71" i="8"/>
  <c r="U75" i="8"/>
  <c r="V72" i="8"/>
  <c r="V73" i="8"/>
  <c r="V74" i="8"/>
  <c r="V71" i="8"/>
  <c r="V75" i="8"/>
  <c r="W72" i="8"/>
  <c r="W73" i="8"/>
  <c r="W74" i="8"/>
  <c r="W71" i="8"/>
  <c r="W75" i="8"/>
  <c r="X72" i="8"/>
  <c r="X73" i="8"/>
  <c r="X74" i="8"/>
  <c r="X71" i="8"/>
  <c r="X75" i="8"/>
  <c r="Y72" i="8"/>
  <c r="Y73" i="8"/>
  <c r="Y74" i="8"/>
  <c r="Y71" i="8"/>
  <c r="Y75" i="8"/>
  <c r="Z72" i="8"/>
  <c r="Z73" i="8"/>
  <c r="Z74" i="8"/>
  <c r="Z71" i="8"/>
  <c r="Z75" i="8"/>
  <c r="AA72" i="8"/>
  <c r="AA73" i="8"/>
  <c r="AA74" i="8"/>
  <c r="AA71" i="8"/>
  <c r="AA75" i="8"/>
  <c r="AB72" i="8"/>
  <c r="AB73" i="8"/>
  <c r="AB74" i="8"/>
  <c r="AB71" i="8"/>
  <c r="AB75" i="8"/>
  <c r="AC72" i="8"/>
  <c r="AC73" i="8"/>
  <c r="AC74" i="8"/>
  <c r="AC71" i="8"/>
  <c r="AC75" i="8"/>
  <c r="AD72" i="8"/>
  <c r="AD73" i="8"/>
  <c r="AD74" i="8"/>
  <c r="AD71" i="8"/>
  <c r="AD75" i="8"/>
  <c r="AE72" i="8"/>
  <c r="AE73" i="8"/>
  <c r="AE74" i="8"/>
  <c r="AE71" i="8"/>
  <c r="AE75" i="8"/>
  <c r="AF72" i="8"/>
  <c r="AF73" i="8"/>
  <c r="AF74" i="8"/>
  <c r="AF71" i="8"/>
  <c r="AF75" i="8"/>
  <c r="AG72" i="8"/>
  <c r="AG73" i="8"/>
  <c r="AG74" i="8"/>
  <c r="AG71" i="8"/>
  <c r="AG75" i="8"/>
  <c r="AH72" i="8"/>
  <c r="AH73" i="8"/>
  <c r="AH74" i="8"/>
  <c r="AH71" i="8"/>
  <c r="AH75" i="8"/>
  <c r="AI72" i="8"/>
  <c r="AI73" i="8"/>
  <c r="AI74" i="8"/>
  <c r="AI71" i="8"/>
  <c r="AI75" i="8"/>
  <c r="AJ72" i="8"/>
  <c r="AJ73" i="8"/>
  <c r="AJ74" i="8"/>
  <c r="AJ71" i="8"/>
  <c r="AJ75" i="8"/>
  <c r="AK72" i="8"/>
  <c r="AK73" i="8"/>
  <c r="AK74" i="8"/>
  <c r="AK71" i="8"/>
  <c r="AK75" i="8"/>
  <c r="AL72" i="8"/>
  <c r="AL73" i="8"/>
  <c r="AL74" i="8"/>
  <c r="AL71" i="8"/>
  <c r="AL75" i="8"/>
  <c r="AM72" i="8"/>
  <c r="AM73" i="8"/>
  <c r="AM74" i="8"/>
  <c r="AM71" i="8"/>
  <c r="AM75" i="8"/>
  <c r="AN72" i="8"/>
  <c r="AN73" i="8"/>
  <c r="AN74" i="8"/>
  <c r="AN71" i="8"/>
  <c r="AN75" i="8"/>
  <c r="AO72" i="8"/>
  <c r="AO73" i="8"/>
  <c r="AO74" i="8"/>
  <c r="AO71" i="8"/>
  <c r="AO75" i="8"/>
  <c r="AP72" i="8"/>
  <c r="AP73" i="8"/>
  <c r="AP74" i="8"/>
  <c r="AP71" i="8"/>
  <c r="AP75" i="8"/>
  <c r="AQ72" i="8"/>
  <c r="AQ73" i="8"/>
  <c r="AQ74" i="8"/>
  <c r="AQ71" i="8"/>
  <c r="AQ75" i="8"/>
  <c r="AR72" i="8"/>
  <c r="AR73" i="8"/>
  <c r="AR74" i="8"/>
  <c r="AR71" i="8"/>
  <c r="AR75" i="8"/>
  <c r="AS72" i="8"/>
  <c r="AS73" i="8"/>
  <c r="AS74" i="8"/>
  <c r="AS71" i="8"/>
  <c r="AS75" i="8"/>
  <c r="AT72" i="8"/>
  <c r="AT73" i="8"/>
  <c r="AT74" i="8"/>
  <c r="AT71" i="8"/>
  <c r="AT75" i="8"/>
  <c r="AU72" i="8"/>
  <c r="AU73" i="8"/>
  <c r="AU74" i="8"/>
  <c r="AU71" i="8"/>
  <c r="AU75" i="8"/>
  <c r="AV72" i="8"/>
  <c r="AV73" i="8"/>
  <c r="AV74" i="8"/>
  <c r="AV71" i="8"/>
  <c r="AV75" i="8"/>
  <c r="AW72" i="8"/>
  <c r="AW73" i="8"/>
  <c r="AW74" i="8"/>
  <c r="AW71" i="8"/>
  <c r="AW75" i="8"/>
  <c r="AX72" i="8"/>
  <c r="AX73" i="8"/>
  <c r="AX74" i="8"/>
  <c r="AX71" i="8"/>
  <c r="AX75" i="8"/>
  <c r="AY72" i="8"/>
  <c r="AY73" i="8"/>
  <c r="AY74" i="8"/>
  <c r="AY71" i="8"/>
  <c r="AY75" i="8"/>
  <c r="C75" i="8"/>
  <c r="C74" i="8"/>
  <c r="C73" i="8"/>
  <c r="C72" i="8"/>
  <c r="C71" i="8"/>
  <c r="C66" i="8"/>
  <c r="C59" i="8"/>
  <c r="C58" i="8"/>
  <c r="C48" i="8"/>
  <c r="C47"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C41" i="8"/>
  <c r="C39" i="8"/>
  <c r="C34" i="8"/>
  <c r="AY92" i="8"/>
  <c r="D76" i="8"/>
  <c r="E70" i="8"/>
  <c r="E76" i="8"/>
  <c r="F70" i="8"/>
  <c r="F76" i="8"/>
  <c r="G70" i="8"/>
  <c r="G76" i="8"/>
  <c r="H70" i="8"/>
  <c r="H76" i="8"/>
  <c r="I70" i="8"/>
  <c r="I76" i="8"/>
  <c r="J70" i="8"/>
  <c r="J76" i="8"/>
  <c r="K70" i="8"/>
  <c r="K76" i="8"/>
  <c r="L70" i="8"/>
  <c r="L76" i="8"/>
  <c r="M70" i="8"/>
  <c r="M76" i="8"/>
  <c r="N70" i="8"/>
  <c r="N76" i="8"/>
  <c r="O70" i="8"/>
  <c r="O76" i="8"/>
  <c r="P70" i="8"/>
  <c r="P76" i="8"/>
  <c r="Q70" i="8"/>
  <c r="Q76" i="8"/>
  <c r="R70" i="8"/>
  <c r="R76" i="8"/>
  <c r="S70" i="8"/>
  <c r="S76" i="8"/>
  <c r="T70" i="8"/>
  <c r="T76" i="8"/>
  <c r="U70" i="8"/>
  <c r="U76" i="8"/>
  <c r="V70" i="8"/>
  <c r="V76" i="8"/>
  <c r="W70" i="8"/>
  <c r="W76" i="8"/>
  <c r="X70" i="8"/>
  <c r="X76" i="8"/>
  <c r="Y70" i="8"/>
  <c r="Y76" i="8"/>
  <c r="Z70" i="8"/>
  <c r="Z76" i="8"/>
  <c r="AA70" i="8"/>
  <c r="AA76" i="8"/>
  <c r="AB70" i="8"/>
  <c r="AB76" i="8"/>
  <c r="AC70" i="8"/>
  <c r="AC76" i="8"/>
  <c r="AD70" i="8"/>
  <c r="AD76" i="8"/>
  <c r="AE70" i="8"/>
  <c r="AE76" i="8"/>
  <c r="AF70" i="8"/>
  <c r="AF76" i="8"/>
  <c r="AG70" i="8"/>
  <c r="AG76" i="8"/>
  <c r="AH70" i="8"/>
  <c r="AH76" i="8"/>
  <c r="AI70" i="8"/>
  <c r="AI76" i="8"/>
  <c r="AJ70" i="8"/>
  <c r="AJ76" i="8"/>
  <c r="AK70" i="8"/>
  <c r="AK76" i="8"/>
  <c r="AL70" i="8"/>
  <c r="AL76" i="8"/>
  <c r="AM70" i="8"/>
  <c r="AM76" i="8"/>
  <c r="AN70" i="8"/>
  <c r="AN76" i="8"/>
  <c r="AO70" i="8"/>
  <c r="AO76" i="8"/>
  <c r="AP70" i="8"/>
  <c r="AP76" i="8"/>
  <c r="AQ70" i="8"/>
  <c r="AQ76" i="8"/>
  <c r="AR70" i="8"/>
  <c r="AR76" i="8"/>
  <c r="AS70" i="8"/>
  <c r="AS76" i="8"/>
  <c r="AT70" i="8"/>
  <c r="AT76" i="8"/>
  <c r="AU70" i="8"/>
  <c r="AU76" i="8"/>
  <c r="AV70" i="8"/>
  <c r="AV76" i="8"/>
  <c r="AW70" i="8"/>
  <c r="AW76" i="8"/>
  <c r="AX70" i="8"/>
  <c r="AX76" i="8"/>
  <c r="AY70" i="8"/>
  <c r="AY76" i="8"/>
  <c r="AY57" i="8"/>
  <c r="AY56" i="8"/>
  <c r="K46" i="8"/>
  <c r="L46" i="8"/>
  <c r="M46" i="8"/>
  <c r="N46" i="8"/>
  <c r="O46" i="8"/>
  <c r="P46" i="8"/>
  <c r="Q46" i="8"/>
  <c r="R46" i="8"/>
  <c r="S46" i="8"/>
  <c r="T46" i="8"/>
  <c r="U46" i="8"/>
  <c r="V46" i="8"/>
  <c r="W46" i="8"/>
  <c r="X46" i="8"/>
  <c r="Y46" i="8"/>
  <c r="Z46" i="8"/>
  <c r="AA46" i="8"/>
  <c r="AB46" i="8"/>
  <c r="AC46" i="8"/>
  <c r="AD46" i="8"/>
  <c r="AE46" i="8"/>
  <c r="AF46" i="8"/>
  <c r="AG46" i="8"/>
  <c r="AH46" i="8"/>
  <c r="AI46" i="8"/>
  <c r="AJ46" i="8"/>
  <c r="AK46" i="8"/>
  <c r="AL46" i="8"/>
  <c r="AM46" i="8"/>
  <c r="AN46" i="8"/>
  <c r="AO46" i="8"/>
  <c r="AP46" i="8"/>
  <c r="AQ46" i="8"/>
  <c r="AR46" i="8"/>
  <c r="AS46" i="8"/>
  <c r="AT46" i="8"/>
  <c r="AU46" i="8"/>
  <c r="AV46" i="8"/>
  <c r="AW46" i="8"/>
  <c r="AX46" i="8"/>
  <c r="AY46" i="8"/>
  <c r="AY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R27" i="8"/>
  <c r="Q27" i="8"/>
  <c r="P27" i="8"/>
  <c r="AY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R24" i="8"/>
  <c r="Q24" i="8"/>
  <c r="P24" i="8"/>
  <c r="C202" i="6"/>
  <c r="C33" i="8"/>
  <c r="B33" i="8"/>
  <c r="C160" i="6"/>
  <c r="C32" i="8"/>
  <c r="B32" i="8"/>
  <c r="C122" i="6"/>
  <c r="C31" i="8"/>
  <c r="B31" i="8"/>
  <c r="C111" i="6"/>
  <c r="C30" i="8"/>
  <c r="B30" i="8"/>
  <c r="A33" i="8"/>
  <c r="A32" i="8"/>
  <c r="A31" i="8"/>
  <c r="A30" i="8"/>
  <c r="O27" i="8"/>
  <c r="N27" i="8"/>
  <c r="M27" i="8"/>
  <c r="L27" i="8"/>
  <c r="K27" i="8"/>
  <c r="J27" i="8"/>
  <c r="I27" i="8"/>
  <c r="H27" i="8"/>
  <c r="G27" i="8"/>
  <c r="F27" i="8"/>
  <c r="E27" i="8"/>
  <c r="D27" i="8"/>
  <c r="C105" i="6"/>
  <c r="C27" i="8"/>
  <c r="B27" i="8"/>
  <c r="A27" i="8"/>
  <c r="O24" i="8"/>
  <c r="N24" i="8"/>
  <c r="M24" i="8"/>
  <c r="L24" i="8"/>
  <c r="K24" i="8"/>
  <c r="J24" i="8"/>
  <c r="I24" i="8"/>
  <c r="H24" i="8"/>
  <c r="G24" i="8"/>
  <c r="F24" i="8"/>
  <c r="E24" i="8"/>
  <c r="D24" i="8"/>
  <c r="C24" i="8"/>
  <c r="B24" i="8"/>
  <c r="A24" i="8"/>
  <c r="A1" i="8"/>
  <c r="A47" i="8"/>
  <c r="A71" i="8"/>
  <c r="B71" i="8"/>
  <c r="A72" i="8"/>
  <c r="B72" i="8"/>
  <c r="A73" i="8"/>
  <c r="B73" i="8"/>
  <c r="A74" i="8"/>
  <c r="B74" i="8"/>
  <c r="A83" i="8"/>
  <c r="A86" i="8"/>
  <c r="B86" i="8"/>
  <c r="B90" i="8"/>
  <c r="B91" i="8"/>
  <c r="B92" i="8"/>
  <c r="A96" i="8"/>
  <c r="B101" i="8"/>
  <c r="A1" i="6"/>
  <c r="M27" i="5"/>
  <c r="L27" i="5"/>
  <c r="K27" i="5"/>
  <c r="J27" i="5"/>
  <c r="I27" i="5"/>
  <c r="H27" i="5"/>
  <c r="G27" i="5"/>
  <c r="F27" i="5"/>
  <c r="E27" i="5"/>
  <c r="D27" i="5"/>
  <c r="C132" i="6"/>
  <c r="C27" i="5"/>
  <c r="B27" i="5"/>
  <c r="A27" i="5"/>
  <c r="A21" i="5"/>
  <c r="A32" i="5"/>
  <c r="A31" i="5"/>
  <c r="D206" i="6"/>
  <c r="D207" i="6"/>
  <c r="D208" i="6"/>
  <c r="D209" i="6"/>
  <c r="D210" i="6"/>
  <c r="E206" i="6"/>
  <c r="E207" i="6"/>
  <c r="E208" i="6"/>
  <c r="E209" i="6"/>
  <c r="E210" i="6"/>
  <c r="F206" i="6"/>
  <c r="F207" i="6"/>
  <c r="F208" i="6"/>
  <c r="F209" i="6"/>
  <c r="F210" i="6"/>
  <c r="G206" i="6"/>
  <c r="G207" i="6"/>
  <c r="G208" i="6"/>
  <c r="G209" i="6"/>
  <c r="G210" i="6"/>
  <c r="H206" i="6"/>
  <c r="H207" i="6"/>
  <c r="H208" i="6"/>
  <c r="H209" i="6"/>
  <c r="H210" i="6"/>
  <c r="AY200" i="6"/>
  <c r="AY184" i="6"/>
  <c r="D212" i="6"/>
  <c r="D216" i="6"/>
  <c r="D218" i="6"/>
  <c r="D219" i="6"/>
  <c r="B181" i="6"/>
  <c r="A4" i="6"/>
  <c r="A140" i="6"/>
  <c r="AY221" i="6"/>
  <c r="AX221" i="6"/>
  <c r="AW221" i="6"/>
  <c r="AV221" i="6"/>
  <c r="AU221" i="6"/>
  <c r="AT221" i="6"/>
  <c r="AS221" i="6"/>
  <c r="AR221" i="6"/>
  <c r="AQ221" i="6"/>
  <c r="AP221" i="6"/>
  <c r="AO221" i="6"/>
  <c r="AN221" i="6"/>
  <c r="AM221" i="6"/>
  <c r="AL221" i="6"/>
  <c r="AK221" i="6"/>
  <c r="AJ221" i="6"/>
  <c r="AI221" i="6"/>
  <c r="AH221" i="6"/>
  <c r="AG221" i="6"/>
  <c r="AF221" i="6"/>
  <c r="AE221" i="6"/>
  <c r="AD221" i="6"/>
  <c r="AC221" i="6"/>
  <c r="AB221" i="6"/>
  <c r="AA221" i="6"/>
  <c r="Z221" i="6"/>
  <c r="Y221" i="6"/>
  <c r="X221" i="6"/>
  <c r="W221" i="6"/>
  <c r="V221" i="6"/>
  <c r="U221" i="6"/>
  <c r="T221" i="6"/>
  <c r="S221" i="6"/>
  <c r="R221" i="6"/>
  <c r="Q221" i="6"/>
  <c r="P221" i="6"/>
  <c r="O221" i="6"/>
  <c r="N221" i="6"/>
  <c r="M221" i="6"/>
  <c r="L221" i="6"/>
  <c r="K221" i="6"/>
  <c r="J221" i="6"/>
  <c r="I221" i="6"/>
  <c r="H221" i="6"/>
  <c r="G221" i="6"/>
  <c r="F221" i="6"/>
  <c r="E221" i="6"/>
  <c r="D221" i="6"/>
  <c r="C221" i="6"/>
  <c r="B221" i="6"/>
  <c r="A221" i="6"/>
  <c r="C120" i="6"/>
  <c r="D107" i="6"/>
  <c r="C107" i="6"/>
  <c r="C106" i="6"/>
  <c r="E215" i="6"/>
  <c r="E216" i="6"/>
  <c r="E218" i="6"/>
  <c r="F215" i="6"/>
  <c r="F216" i="6"/>
  <c r="F218" i="6"/>
  <c r="G215" i="6"/>
  <c r="G216" i="6"/>
  <c r="G218" i="6"/>
  <c r="H215" i="6"/>
  <c r="H216" i="6"/>
  <c r="H218" i="6"/>
  <c r="I215" i="6"/>
  <c r="I216" i="6"/>
  <c r="I218" i="6"/>
  <c r="J215" i="6"/>
  <c r="J216" i="6"/>
  <c r="J218" i="6"/>
  <c r="K215" i="6"/>
  <c r="K216" i="6"/>
  <c r="K218" i="6"/>
  <c r="L215" i="6"/>
  <c r="L216" i="6"/>
  <c r="L218" i="6"/>
  <c r="M215" i="6"/>
  <c r="M216" i="6"/>
  <c r="M218" i="6"/>
  <c r="N215" i="6"/>
  <c r="N216" i="6"/>
  <c r="N218" i="6"/>
  <c r="O215" i="6"/>
  <c r="O216" i="6"/>
  <c r="O218" i="6"/>
  <c r="P215" i="6"/>
  <c r="P216" i="6"/>
  <c r="P218" i="6"/>
  <c r="Q215" i="6"/>
  <c r="Q216" i="6"/>
  <c r="Q218" i="6"/>
  <c r="R215" i="6"/>
  <c r="R216" i="6"/>
  <c r="R218" i="6"/>
  <c r="S215" i="6"/>
  <c r="S216" i="6"/>
  <c r="S218" i="6"/>
  <c r="T215" i="6"/>
  <c r="T216" i="6"/>
  <c r="T218" i="6"/>
  <c r="U215" i="6"/>
  <c r="U216" i="6"/>
  <c r="U218" i="6"/>
  <c r="V215" i="6"/>
  <c r="V216" i="6"/>
  <c r="V218" i="6"/>
  <c r="W215" i="6"/>
  <c r="W216" i="6"/>
  <c r="W218" i="6"/>
  <c r="X215" i="6"/>
  <c r="X216" i="6"/>
  <c r="X218" i="6"/>
  <c r="Y215" i="6"/>
  <c r="Y216" i="6"/>
  <c r="Y218" i="6"/>
  <c r="Z215" i="6"/>
  <c r="Z216" i="6"/>
  <c r="Z218" i="6"/>
  <c r="AA215" i="6"/>
  <c r="AA216" i="6"/>
  <c r="AA218" i="6"/>
  <c r="AB215" i="6"/>
  <c r="AB216" i="6"/>
  <c r="AB218" i="6"/>
  <c r="AC215" i="6"/>
  <c r="AC216" i="6"/>
  <c r="AC218" i="6"/>
  <c r="AD215" i="6"/>
  <c r="AD216" i="6"/>
  <c r="AD218" i="6"/>
  <c r="AE215" i="6"/>
  <c r="AE216" i="6"/>
  <c r="AE218" i="6"/>
  <c r="AF215" i="6"/>
  <c r="AF216" i="6"/>
  <c r="AF218" i="6"/>
  <c r="AG215" i="6"/>
  <c r="AG216" i="6"/>
  <c r="AG218" i="6"/>
  <c r="AH215" i="6"/>
  <c r="AH216" i="6"/>
  <c r="AH218" i="6"/>
  <c r="AI215" i="6"/>
  <c r="AI216" i="6"/>
  <c r="AI218" i="6"/>
  <c r="AJ215" i="6"/>
  <c r="AJ216" i="6"/>
  <c r="AJ218" i="6"/>
  <c r="AK215" i="6"/>
  <c r="AK216" i="6"/>
  <c r="AK218" i="6"/>
  <c r="AL215" i="6"/>
  <c r="AL216" i="6"/>
  <c r="AL218" i="6"/>
  <c r="AM215" i="6"/>
  <c r="AM216" i="6"/>
  <c r="AM218" i="6"/>
  <c r="AN215" i="6"/>
  <c r="AN216" i="6"/>
  <c r="AN218" i="6"/>
  <c r="AO215" i="6"/>
  <c r="AO216" i="6"/>
  <c r="AO218" i="6"/>
  <c r="AP215" i="6"/>
  <c r="AP216" i="6"/>
  <c r="AP218" i="6"/>
  <c r="AQ215" i="6"/>
  <c r="AQ216" i="6"/>
  <c r="AQ218" i="6"/>
  <c r="AR215" i="6"/>
  <c r="AR216" i="6"/>
  <c r="AR218" i="6"/>
  <c r="AS215" i="6"/>
  <c r="AS216" i="6"/>
  <c r="AS218" i="6"/>
  <c r="AT215" i="6"/>
  <c r="AT216" i="6"/>
  <c r="AT218" i="6"/>
  <c r="AU215" i="6"/>
  <c r="AU216" i="6"/>
  <c r="AU218" i="6"/>
  <c r="AV215" i="6"/>
  <c r="AV216" i="6"/>
  <c r="AV218" i="6"/>
  <c r="AW215" i="6"/>
  <c r="AW216" i="6"/>
  <c r="AW218" i="6"/>
  <c r="AX215" i="6"/>
  <c r="AX216" i="6"/>
  <c r="AX218" i="6"/>
  <c r="AY215" i="6"/>
  <c r="AY216" i="6"/>
  <c r="AY218" i="6"/>
  <c r="C220" i="6"/>
  <c r="C5" i="6"/>
  <c r="B5" i="6"/>
  <c r="A5" i="6"/>
  <c r="B180" i="6"/>
  <c r="A180" i="6"/>
  <c r="C180" i="6"/>
  <c r="B190" i="6"/>
  <c r="A190" i="6"/>
  <c r="C117" i="6"/>
  <c r="C118" i="6"/>
  <c r="C119" i="6"/>
  <c r="C121" i="6"/>
  <c r="C116" i="6"/>
  <c r="AY224" i="6"/>
  <c r="AX224" i="6"/>
  <c r="AW224" i="6"/>
  <c r="AV224" i="6"/>
  <c r="AU224" i="6"/>
  <c r="AT224" i="6"/>
  <c r="AS224" i="6"/>
  <c r="AR224" i="6"/>
  <c r="AQ224" i="6"/>
  <c r="AP224" i="6"/>
  <c r="AO224" i="6"/>
  <c r="AN224" i="6"/>
  <c r="AM224" i="6"/>
  <c r="AL224" i="6"/>
  <c r="AK224" i="6"/>
  <c r="AY204" i="6"/>
  <c r="AX204" i="6"/>
  <c r="AW204" i="6"/>
  <c r="AV204" i="6"/>
  <c r="AU204" i="6"/>
  <c r="AT204" i="6"/>
  <c r="AS204" i="6"/>
  <c r="AR204" i="6"/>
  <c r="AQ204" i="6"/>
  <c r="AP204" i="6"/>
  <c r="AO204" i="6"/>
  <c r="AN204" i="6"/>
  <c r="AM204" i="6"/>
  <c r="AL204" i="6"/>
  <c r="AK204" i="6"/>
  <c r="AY163" i="6"/>
  <c r="AX163" i="6"/>
  <c r="AW163" i="6"/>
  <c r="AV163" i="6"/>
  <c r="AU163" i="6"/>
  <c r="AT163" i="6"/>
  <c r="AS163" i="6"/>
  <c r="AR163" i="6"/>
  <c r="AQ163" i="6"/>
  <c r="AP163" i="6"/>
  <c r="AO163" i="6"/>
  <c r="AN163" i="6"/>
  <c r="AM163" i="6"/>
  <c r="AL163" i="6"/>
  <c r="AK163" i="6"/>
  <c r="W163" i="6"/>
  <c r="X163" i="6"/>
  <c r="Y163" i="6"/>
  <c r="Z163" i="6"/>
  <c r="AA163" i="6"/>
  <c r="AB163" i="6"/>
  <c r="AC163" i="6"/>
  <c r="AD163" i="6"/>
  <c r="AE163" i="6"/>
  <c r="AF163" i="6"/>
  <c r="AG163" i="6"/>
  <c r="AH163" i="6"/>
  <c r="AI163" i="6"/>
  <c r="AJ163" i="6"/>
  <c r="W204" i="6"/>
  <c r="X204" i="6"/>
  <c r="Y204" i="6"/>
  <c r="Z204" i="6"/>
  <c r="AA204" i="6"/>
  <c r="AB204" i="6"/>
  <c r="AC204" i="6"/>
  <c r="AD204" i="6"/>
  <c r="AE204" i="6"/>
  <c r="AF204" i="6"/>
  <c r="AG204" i="6"/>
  <c r="AH204" i="6"/>
  <c r="AI204" i="6"/>
  <c r="AJ204" i="6"/>
  <c r="W224" i="6"/>
  <c r="X224" i="6"/>
  <c r="Y224" i="6"/>
  <c r="Z224" i="6"/>
  <c r="AA224" i="6"/>
  <c r="AB224" i="6"/>
  <c r="AC224" i="6"/>
  <c r="AD224" i="6"/>
  <c r="AE224" i="6"/>
  <c r="AF224" i="6"/>
  <c r="AG224" i="6"/>
  <c r="AH224" i="6"/>
  <c r="AI224" i="6"/>
  <c r="AJ224" i="6"/>
  <c r="K163" i="6"/>
  <c r="L163" i="6"/>
  <c r="M163" i="6"/>
  <c r="N163" i="6"/>
  <c r="O163" i="6"/>
  <c r="P163" i="6"/>
  <c r="Q163" i="6"/>
  <c r="R163" i="6"/>
  <c r="S163" i="6"/>
  <c r="T163" i="6"/>
  <c r="U163" i="6"/>
  <c r="V163" i="6"/>
  <c r="B196" i="6"/>
  <c r="A196" i="6"/>
  <c r="B4" i="6"/>
  <c r="E224" i="6"/>
  <c r="F224" i="6"/>
  <c r="G224" i="6"/>
  <c r="H224" i="6"/>
  <c r="I224" i="6"/>
  <c r="J224" i="6"/>
  <c r="K224" i="6"/>
  <c r="L224" i="6"/>
  <c r="M224" i="6"/>
  <c r="N224" i="6"/>
  <c r="O224" i="6"/>
  <c r="P224" i="6"/>
  <c r="Q224" i="6"/>
  <c r="R224" i="6"/>
  <c r="S224" i="6"/>
  <c r="T224" i="6"/>
  <c r="U224" i="6"/>
  <c r="V224" i="6"/>
  <c r="D204" i="6"/>
  <c r="E204" i="6"/>
  <c r="F204" i="6"/>
  <c r="G204" i="6"/>
  <c r="H204" i="6"/>
  <c r="I204" i="6"/>
  <c r="J204" i="6"/>
  <c r="K204" i="6"/>
  <c r="L204" i="6"/>
  <c r="M204" i="6"/>
  <c r="N204" i="6"/>
  <c r="O204" i="6"/>
  <c r="P204" i="6"/>
  <c r="Q204" i="6"/>
  <c r="R204" i="6"/>
  <c r="S204" i="6"/>
  <c r="T204" i="6"/>
  <c r="U204" i="6"/>
  <c r="V204" i="6"/>
  <c r="B128" i="6"/>
  <c r="A128" i="6"/>
  <c r="C147" i="6"/>
  <c r="C149" i="6"/>
  <c r="C146" i="6"/>
  <c r="H226" i="6"/>
  <c r="E226" i="6"/>
  <c r="F226" i="6"/>
  <c r="J226" i="6"/>
  <c r="G226" i="6"/>
  <c r="K226" i="6"/>
  <c r="I226" i="6"/>
  <c r="L226" i="6"/>
  <c r="M226" i="6"/>
  <c r="C204" i="6"/>
  <c r="B204" i="6"/>
  <c r="A204" i="6"/>
  <c r="C163" i="6"/>
  <c r="B163" i="6"/>
  <c r="A163" i="6"/>
  <c r="C125" i="6"/>
  <c r="B125" i="6"/>
  <c r="A125" i="6"/>
  <c r="N226" i="6"/>
  <c r="B186" i="6"/>
  <c r="A186" i="6"/>
  <c r="O226" i="6"/>
  <c r="P226" i="6"/>
  <c r="A228" i="6"/>
  <c r="A227" i="6"/>
  <c r="A226" i="6"/>
  <c r="A225" i="6"/>
  <c r="C224" i="6"/>
  <c r="B224" i="6"/>
  <c r="A224" i="6"/>
  <c r="B206" i="6"/>
  <c r="B207" i="6"/>
  <c r="B208" i="6"/>
  <c r="B209" i="6"/>
  <c r="A209" i="6"/>
  <c r="A208" i="6"/>
  <c r="A207" i="6"/>
  <c r="A206" i="6"/>
  <c r="E225" i="6"/>
  <c r="Q226" i="6"/>
  <c r="E227" i="6"/>
  <c r="F225" i="6"/>
  <c r="R226" i="6"/>
  <c r="D227" i="6"/>
  <c r="D125" i="6"/>
  <c r="D163" i="6"/>
  <c r="D224" i="6"/>
  <c r="F227" i="6"/>
  <c r="S226" i="6"/>
  <c r="G225" i="6"/>
  <c r="E125" i="6"/>
  <c r="E163" i="6"/>
  <c r="C150" i="6"/>
  <c r="H225" i="6"/>
  <c r="T226" i="6"/>
  <c r="F125" i="6"/>
  <c r="F163" i="6"/>
  <c r="G227" i="6"/>
  <c r="H227" i="6"/>
  <c r="I225" i="6"/>
  <c r="U226" i="6"/>
  <c r="G163" i="6"/>
  <c r="G125" i="6"/>
  <c r="I227" i="6"/>
  <c r="J225" i="6"/>
  <c r="V226" i="6"/>
  <c r="H125" i="6"/>
  <c r="H163" i="6"/>
  <c r="D225" i="6"/>
  <c r="D226" i="6"/>
  <c r="J227" i="6"/>
  <c r="K225" i="6"/>
  <c r="I125" i="6"/>
  <c r="I163" i="6"/>
  <c r="K227" i="6"/>
  <c r="W226" i="6"/>
  <c r="L225" i="6"/>
  <c r="J125" i="6"/>
  <c r="J163" i="6"/>
  <c r="L227" i="6"/>
  <c r="C128" i="6"/>
  <c r="X226" i="6"/>
  <c r="M225" i="6"/>
  <c r="M227" i="6"/>
  <c r="Y226" i="6"/>
  <c r="N225" i="6"/>
  <c r="N227" i="6"/>
  <c r="Z226" i="6"/>
  <c r="O225" i="6"/>
  <c r="O227" i="6"/>
  <c r="AA226" i="6"/>
  <c r="P225" i="6"/>
  <c r="P227" i="6"/>
  <c r="AB226" i="6"/>
  <c r="Q225" i="6"/>
  <c r="Q227" i="6"/>
  <c r="AC226" i="6"/>
  <c r="R225" i="6"/>
  <c r="E228" i="6"/>
  <c r="D228" i="6"/>
  <c r="R227" i="6"/>
  <c r="AD226" i="6"/>
  <c r="S225" i="6"/>
  <c r="F228" i="6"/>
  <c r="E229" i="6"/>
  <c r="E230" i="6"/>
  <c r="D230" i="6"/>
  <c r="D229" i="6"/>
  <c r="S227" i="6"/>
  <c r="W227" i="6"/>
  <c r="W225" i="6"/>
  <c r="AE226" i="6"/>
  <c r="E231" i="6"/>
  <c r="T225" i="6"/>
  <c r="F229" i="6"/>
  <c r="F230" i="6"/>
  <c r="G228" i="6"/>
  <c r="D231" i="6"/>
  <c r="T227" i="6"/>
  <c r="X227" i="6"/>
  <c r="X225" i="6"/>
  <c r="AF226" i="6"/>
  <c r="F231" i="6"/>
  <c r="U225" i="6"/>
  <c r="H228" i="6"/>
  <c r="G229" i="6"/>
  <c r="G230" i="6"/>
  <c r="U227" i="6"/>
  <c r="Y225" i="6"/>
  <c r="AG226" i="6"/>
  <c r="H230" i="6"/>
  <c r="H229" i="6"/>
  <c r="I228" i="6"/>
  <c r="G231" i="6"/>
  <c r="V225" i="6"/>
  <c r="Y227" i="6"/>
  <c r="Z227" i="6"/>
  <c r="AH226" i="6"/>
  <c r="Z225" i="6"/>
  <c r="J228" i="6"/>
  <c r="H231" i="6"/>
  <c r="I229" i="6"/>
  <c r="I230" i="6"/>
  <c r="V227" i="6"/>
  <c r="AI226" i="6"/>
  <c r="AA225" i="6"/>
  <c r="I231" i="6"/>
  <c r="J229" i="6"/>
  <c r="J230" i="6"/>
  <c r="K228" i="6"/>
  <c r="AA227" i="6"/>
  <c r="AB225" i="6"/>
  <c r="AJ226" i="6"/>
  <c r="J231" i="6"/>
  <c r="K229" i="6"/>
  <c r="K230" i="6"/>
  <c r="L228" i="6"/>
  <c r="AB227" i="6"/>
  <c r="AC227" i="6"/>
  <c r="AC225" i="6"/>
  <c r="AK226" i="6"/>
  <c r="K231" i="6"/>
  <c r="M228" i="6"/>
  <c r="L229" i="6"/>
  <c r="L230" i="6"/>
  <c r="AD225" i="6"/>
  <c r="AL226" i="6"/>
  <c r="M229" i="6"/>
  <c r="M230" i="6"/>
  <c r="N228" i="6"/>
  <c r="L231" i="6"/>
  <c r="AD227" i="6"/>
  <c r="AE225" i="6"/>
  <c r="AM226" i="6"/>
  <c r="M231" i="6"/>
  <c r="N229" i="6"/>
  <c r="N230" i="6"/>
  <c r="O228" i="6"/>
  <c r="AE227" i="6"/>
  <c r="AF225" i="6"/>
  <c r="AN226" i="6"/>
  <c r="N231" i="6"/>
  <c r="O229" i="6"/>
  <c r="O230" i="6"/>
  <c r="P228" i="6"/>
  <c r="AF227" i="6"/>
  <c r="AG227" i="6"/>
  <c r="AO226" i="6"/>
  <c r="AG225" i="6"/>
  <c r="O231" i="6"/>
  <c r="P229" i="6"/>
  <c r="P230" i="6"/>
  <c r="Q228" i="6"/>
  <c r="AH225" i="6"/>
  <c r="AP226" i="6"/>
  <c r="P231" i="6"/>
  <c r="Q229" i="6"/>
  <c r="Q230" i="6"/>
  <c r="R228" i="6"/>
  <c r="AH227" i="6"/>
  <c r="AQ226" i="6"/>
  <c r="AI225" i="6"/>
  <c r="Q231" i="6"/>
  <c r="R229" i="6"/>
  <c r="R230" i="6"/>
  <c r="S228" i="6"/>
  <c r="AJ225" i="6"/>
  <c r="AR226" i="6"/>
  <c r="R231" i="6"/>
  <c r="T228" i="6"/>
  <c r="S229" i="6"/>
  <c r="S230" i="6"/>
  <c r="AI227" i="6"/>
  <c r="AK227" i="6"/>
  <c r="AK225" i="6"/>
  <c r="AS226" i="6"/>
  <c r="S231" i="6"/>
  <c r="T229" i="6"/>
  <c r="T230" i="6"/>
  <c r="U228" i="6"/>
  <c r="AL227" i="6"/>
  <c r="AJ227" i="6"/>
  <c r="AT226" i="6"/>
  <c r="AL225" i="6"/>
  <c r="W228" i="6"/>
  <c r="T231" i="6"/>
  <c r="U229" i="6"/>
  <c r="U230" i="6"/>
  <c r="V228" i="6"/>
  <c r="AU226" i="6"/>
  <c r="AM225" i="6"/>
  <c r="W229" i="6"/>
  <c r="W230" i="6"/>
  <c r="X228" i="6"/>
  <c r="U231" i="6"/>
  <c r="V229" i="6"/>
  <c r="V230" i="6"/>
  <c r="AM227" i="6"/>
  <c r="AV226" i="6"/>
  <c r="AN225" i="6"/>
  <c r="Y228" i="6"/>
  <c r="W231" i="6"/>
  <c r="X229" i="6"/>
  <c r="X230" i="6"/>
  <c r="V231" i="6"/>
  <c r="AO227" i="6"/>
  <c r="AN227" i="6"/>
  <c r="AO225" i="6"/>
  <c r="AW226" i="6"/>
  <c r="Z228" i="6"/>
  <c r="X231" i="6"/>
  <c r="Y230" i="6"/>
  <c r="Y229" i="6"/>
  <c r="AA228" i="6"/>
  <c r="AP225" i="6"/>
  <c r="AX226" i="6"/>
  <c r="Y231" i="6"/>
  <c r="Z230" i="6"/>
  <c r="Z229" i="6"/>
  <c r="AP227" i="6"/>
  <c r="E212" i="6"/>
  <c r="F212" i="6"/>
  <c r="G212" i="6"/>
  <c r="H212" i="6"/>
  <c r="I212" i="6"/>
  <c r="J212" i="6"/>
  <c r="K212" i="6"/>
  <c r="L212" i="6"/>
  <c r="M212" i="6"/>
  <c r="N212" i="6"/>
  <c r="O212" i="6"/>
  <c r="P212" i="6"/>
  <c r="Q212" i="6"/>
  <c r="R212" i="6"/>
  <c r="S212" i="6"/>
  <c r="T212" i="6"/>
  <c r="U212" i="6"/>
  <c r="V212" i="6"/>
  <c r="W212" i="6"/>
  <c r="X212" i="6"/>
  <c r="Y212" i="6"/>
  <c r="Z212" i="6"/>
  <c r="AB228" i="6"/>
  <c r="AY226" i="6"/>
  <c r="AQ225" i="6"/>
  <c r="Z231" i="6"/>
  <c r="AA230" i="6"/>
  <c r="AA229" i="6"/>
  <c r="E219" i="6"/>
  <c r="F219" i="6"/>
  <c r="G219" i="6"/>
  <c r="H219" i="6"/>
  <c r="I219" i="6"/>
  <c r="J219" i="6"/>
  <c r="K219" i="6"/>
  <c r="L219" i="6"/>
  <c r="M219" i="6"/>
  <c r="N219" i="6"/>
  <c r="O219" i="6"/>
  <c r="P219" i="6"/>
  <c r="Q219" i="6"/>
  <c r="R219" i="6"/>
  <c r="S219" i="6"/>
  <c r="T219" i="6"/>
  <c r="U219" i="6"/>
  <c r="V219" i="6"/>
  <c r="W219" i="6"/>
  <c r="X219" i="6"/>
  <c r="Y219" i="6"/>
  <c r="Z219" i="6"/>
  <c r="AA212" i="6"/>
  <c r="AA219" i="6"/>
  <c r="AQ227" i="6"/>
  <c r="AB219" i="6"/>
  <c r="AR227" i="6"/>
  <c r="AR225" i="6"/>
  <c r="AA231" i="6"/>
  <c r="AB230" i="6"/>
  <c r="AB229" i="6"/>
  <c r="AB212" i="6"/>
  <c r="AS227" i="6"/>
  <c r="AC219" i="6"/>
  <c r="AC228" i="6"/>
  <c r="AC229" i="6"/>
  <c r="C145" i="6"/>
  <c r="C148" i="6"/>
  <c r="AS225" i="6"/>
  <c r="AB231" i="6"/>
  <c r="AC230" i="6"/>
  <c r="AC231" i="6"/>
  <c r="AC212" i="6"/>
  <c r="C207" i="6"/>
  <c r="AT225" i="6"/>
  <c r="C151" i="6"/>
  <c r="AT227" i="6"/>
  <c r="AU227" i="6"/>
  <c r="AD228" i="6"/>
  <c r="AU225" i="6"/>
  <c r="AD230" i="6"/>
  <c r="AD229" i="6"/>
  <c r="AD219" i="6"/>
  <c r="AD212" i="6"/>
  <c r="AE228" i="6"/>
  <c r="AV225" i="6"/>
  <c r="AV227" i="6"/>
  <c r="AW227" i="6"/>
  <c r="AD231" i="6"/>
  <c r="AE230" i="6"/>
  <c r="AE229" i="6"/>
  <c r="AE219" i="6"/>
  <c r="AE212" i="6"/>
  <c r="AW225" i="6"/>
  <c r="AE231" i="6"/>
  <c r="AX225" i="6"/>
  <c r="AF219" i="6"/>
  <c r="AF228" i="6"/>
  <c r="AX227" i="6"/>
  <c r="AY227" i="6"/>
  <c r="AF212" i="6"/>
  <c r="AF230" i="6"/>
  <c r="AF229" i="6"/>
  <c r="AY225" i="6"/>
  <c r="AF231" i="6"/>
  <c r="AG228" i="6"/>
  <c r="C141" i="6"/>
  <c r="AG229" i="6"/>
  <c r="AG230" i="6"/>
  <c r="AG219" i="6"/>
  <c r="AG212" i="6"/>
  <c r="C186" i="6"/>
  <c r="C206" i="6"/>
  <c r="AG231" i="6"/>
  <c r="AH228" i="6"/>
  <c r="AH219" i="6"/>
  <c r="C208" i="6"/>
  <c r="C189" i="6"/>
  <c r="C227" i="6"/>
  <c r="AH230" i="6"/>
  <c r="AH229" i="6"/>
  <c r="AI219" i="6"/>
  <c r="AI228" i="6"/>
  <c r="AH212" i="6"/>
  <c r="AH231" i="6"/>
  <c r="AI229" i="6"/>
  <c r="AI230" i="6"/>
  <c r="AI212" i="6"/>
  <c r="AJ228" i="6"/>
  <c r="AI231" i="6"/>
  <c r="AJ219" i="6"/>
  <c r="AJ229" i="6"/>
  <c r="AJ230" i="6"/>
  <c r="AJ212" i="6"/>
  <c r="AJ231" i="6"/>
  <c r="AK228" i="6"/>
  <c r="AK219" i="6"/>
  <c r="AK230" i="6"/>
  <c r="AK229" i="6"/>
  <c r="AK212" i="6"/>
  <c r="AK231" i="6"/>
  <c r="AL219" i="6"/>
  <c r="AL228" i="6"/>
  <c r="AL229" i="6"/>
  <c r="AL230" i="6"/>
  <c r="AL212" i="6"/>
  <c r="AL231" i="6"/>
  <c r="AM228" i="6"/>
  <c r="C183" i="6"/>
  <c r="AM230" i="6"/>
  <c r="AM229" i="6"/>
  <c r="AM219" i="6"/>
  <c r="AM212" i="6"/>
  <c r="AM231" i="6"/>
  <c r="AN219" i="6"/>
  <c r="AN228" i="6"/>
  <c r="AN230" i="6"/>
  <c r="AN229" i="6"/>
  <c r="AN212" i="6"/>
  <c r="AN231" i="6"/>
  <c r="AO228" i="6"/>
  <c r="AO219" i="6"/>
  <c r="AO229" i="6"/>
  <c r="AO230" i="6"/>
  <c r="AO212" i="6"/>
  <c r="AO231" i="6"/>
  <c r="AP228" i="6"/>
  <c r="AP230" i="6"/>
  <c r="AP229" i="6"/>
  <c r="AP219" i="6"/>
  <c r="AP212" i="6"/>
  <c r="AQ228" i="6"/>
  <c r="AP231" i="6"/>
  <c r="AQ219" i="6"/>
  <c r="AQ230" i="6"/>
  <c r="AQ229" i="6"/>
  <c r="AQ212" i="6"/>
  <c r="AQ231" i="6"/>
  <c r="AR228" i="6"/>
  <c r="AR212" i="6"/>
  <c r="AR229" i="6"/>
  <c r="AR230" i="6"/>
  <c r="AR231" i="6"/>
  <c r="AS228" i="6"/>
  <c r="AR219" i="6"/>
  <c r="AS230" i="6"/>
  <c r="AS229" i="6"/>
  <c r="AT228" i="6"/>
  <c r="AS212" i="6"/>
  <c r="AT212" i="6"/>
  <c r="AT229" i="6"/>
  <c r="AT230" i="6"/>
  <c r="AS231" i="6"/>
  <c r="AU228" i="6"/>
  <c r="AT231" i="6"/>
  <c r="AS219" i="6"/>
  <c r="AT219" i="6"/>
  <c r="AU212" i="6"/>
  <c r="AU230" i="6"/>
  <c r="AU229" i="6"/>
  <c r="AU231" i="6"/>
  <c r="AV228" i="6"/>
  <c r="AV229" i="6"/>
  <c r="AV212" i="6"/>
  <c r="AU219" i="6"/>
  <c r="AV230" i="6"/>
  <c r="AV231" i="6"/>
  <c r="AW228" i="6"/>
  <c r="AW230" i="6"/>
  <c r="AW229" i="6"/>
  <c r="AV219" i="6"/>
  <c r="AW219" i="6"/>
  <c r="AW212" i="6"/>
  <c r="AW231" i="6"/>
  <c r="AX228" i="6"/>
  <c r="AX229" i="6"/>
  <c r="AX230" i="6"/>
  <c r="AX219" i="6"/>
  <c r="AX212" i="6"/>
  <c r="AX231" i="6"/>
  <c r="AY219" i="6"/>
  <c r="AY228" i="6"/>
  <c r="AY229" i="6"/>
  <c r="AY230" i="6"/>
  <c r="AY212" i="6"/>
  <c r="AY231" i="6"/>
  <c r="C190" i="6"/>
  <c r="C209" i="6"/>
  <c r="C210" i="6"/>
  <c r="C4" i="6"/>
  <c r="C218" i="6"/>
</calcChain>
</file>

<file path=xl/sharedStrings.xml><?xml version="1.0" encoding="utf-8"?>
<sst xmlns="http://schemas.openxmlformats.org/spreadsheetml/2006/main" count="292" uniqueCount="218">
  <si>
    <t>Contact</t>
  </si>
  <si>
    <t>Purpose</t>
  </si>
  <si>
    <t>Discount Rate</t>
  </si>
  <si>
    <t>recovery</t>
  </si>
  <si>
    <t>units</t>
  </si>
  <si>
    <t>Total</t>
  </si>
  <si>
    <t>Explaining the Protocols - Ignore this</t>
  </si>
  <si>
    <t>This section is used to explain the spreadsheet formatting on the Introduction worksheet.</t>
  </si>
  <si>
    <t>Cashstream 2: Capital Costs</t>
  </si>
  <si>
    <t>Cashstream 3: Operating Costs</t>
  </si>
  <si>
    <t>Cashstream 4: Taxes</t>
  </si>
  <si>
    <t>less</t>
  </si>
  <si>
    <t>Discounting</t>
  </si>
  <si>
    <t>Discount Factor</t>
  </si>
  <si>
    <t>Company Income Tax  Rate</t>
  </si>
  <si>
    <t>% of assessable income</t>
  </si>
  <si>
    <t>Data for Graphs</t>
  </si>
  <si>
    <t>Cashflow if positive</t>
  </si>
  <si>
    <t>Cashflow Deficit</t>
  </si>
  <si>
    <t>Cash Flow</t>
  </si>
  <si>
    <t>% silver</t>
  </si>
  <si>
    <t>Computational algorithms should not change across a row.  If there is an exception it should be highlighted with a dark border</t>
  </si>
  <si>
    <t>Every algorithm must use cells only from its own worksheet.  (It does not directly reference data in another worksheet, nor contain hidden fresh data)</t>
  </si>
  <si>
    <t>It has its source - date, person and document - always visible in blue font in the row immediately above. (Not as a hidden cell note)</t>
  </si>
  <si>
    <t>This worked example is an illustration. Assume it has not been properly audited and should be checked before being used.</t>
  </si>
  <si>
    <t>Understanding the colour coding is easy!</t>
  </si>
  <si>
    <t>Cashstream 1: Revenue</t>
  </si>
  <si>
    <t>Discounted Cashflow</t>
  </si>
  <si>
    <t>Cumulative NPV</t>
  </si>
  <si>
    <t>Assessable Income</t>
  </si>
  <si>
    <t>other</t>
  </si>
  <si>
    <t>Months --&gt;</t>
  </si>
  <si>
    <t>Net cashflow - Cumulative</t>
  </si>
  <si>
    <t>insurance</t>
  </si>
  <si>
    <t>Losses carried forward - opening balance</t>
  </si>
  <si>
    <t>Income Tax - paid</t>
  </si>
  <si>
    <t>Losses carried forward - closing balance</t>
  </si>
  <si>
    <t xml:space="preserve">Cashflow </t>
  </si>
  <si>
    <t>% per month</t>
  </si>
  <si>
    <t>Payback - cash</t>
  </si>
  <si>
    <t xml:space="preserve">Tax deduction rate for "small business" </t>
  </si>
  <si>
    <t>pool of undeducted "Simpler Depreciation for Small Business"</t>
  </si>
  <si>
    <t xml:space="preserve"> Income Tax</t>
  </si>
  <si>
    <t>Assessable income after losses carried forward</t>
  </si>
  <si>
    <t>Cashstream 1: Sales &amp; Revenue</t>
  </si>
  <si>
    <t>days</t>
  </si>
  <si>
    <t>employees</t>
  </si>
  <si>
    <t>telephones &amp; computers</t>
  </si>
  <si>
    <t>working stocks of processer uniits</t>
  </si>
  <si>
    <t>First compute: Tax Deductions for Capital Expenditure  (Approximate)</t>
  </si>
  <si>
    <t>sales of organic fertiliser</t>
  </si>
  <si>
    <t>kilograms</t>
  </si>
  <si>
    <t>$ Real</t>
  </si>
  <si>
    <t>$/kg Real</t>
  </si>
  <si>
    <t>Revenue - organic fertilisers</t>
  </si>
  <si>
    <t>2018 09 05 J Hui: "Marketing report on the Sales of Organic Fertilisers in Villages" page 6</t>
  </si>
  <si>
    <t xml:space="preserve">$ </t>
  </si>
  <si>
    <t>2018 09 05  P Carr email: Farmwers will be required to pay cash on purchase so there will not be debtors</t>
  </si>
  <si>
    <t>2018 09 05 J Lee: "Construction of Organic Fertiliser Plant" page 3</t>
  </si>
  <si>
    <t>Green waste receival</t>
  </si>
  <si>
    <t>Mulching and mixing plant</t>
  </si>
  <si>
    <t>Processing plant</t>
  </si>
  <si>
    <t>workshop and office</t>
  </si>
  <si>
    <t>Despatch facilities</t>
  </si>
  <si>
    <t>fertiliser - increase/(decrease) in working stocks</t>
  </si>
  <si>
    <t>fertiliser - working stocks closing</t>
  </si>
  <si>
    <t>2018 09 05 T Chan: "Operation of the Organic Fertiliser Plant"  pages 4 to 8</t>
  </si>
  <si>
    <t xml:space="preserve">collection </t>
  </si>
  <si>
    <t>mulching, mixing, processing</t>
  </si>
  <si>
    <t>logistics</t>
  </si>
  <si>
    <t>$/ kg Real</t>
  </si>
  <si>
    <t>$/t Real</t>
  </si>
  <si>
    <t>production of fertiliser</t>
  </si>
  <si>
    <t>variable cost of production</t>
  </si>
  <si>
    <t>fixed costs</t>
  </si>
  <si>
    <t>bookkeeping, accounting, legal, insurance</t>
  </si>
  <si>
    <t>local community</t>
  </si>
  <si>
    <t xml:space="preserve">2018 08 22 P Carr: Rather than deducting 15% in first year and 30% subsequently, this evaluation has adopted a simplified method of 25% diminishing every year.  = 2.1% per month.  </t>
  </si>
  <si>
    <t>undeducted capital expenditure - opening balance</t>
  </si>
  <si>
    <t>undeducted capital expenditure - closing balance</t>
  </si>
  <si>
    <t>2019 08 22 P Carr: This simple business model does not incorporate the erosion of tax deductions by inflation.  It computes in Real terms.  (It does not convert capital expenditure to Nominal terms, compute the tax deductions and then convert them back to Real terms - as may be done in more detailed evaluations.)</t>
  </si>
  <si>
    <t>Tax deductions for capital expenditure</t>
  </si>
  <si>
    <t>2017 08 01 P Carr: Adopt 7% Real as the basic discount rate for this type of social enterprise.  Some investors prefer a premium added to the discount rate that represents the risk of investing in that country.  So here adopt 7% + 3% = 10% Real  --&gt; 0.83% per month</t>
  </si>
  <si>
    <r>
      <t xml:space="preserve">Model creator: Peter Card in Melbourne, at </t>
    </r>
    <r>
      <rPr>
        <u/>
        <sz val="12"/>
        <color rgb="FF0070C0"/>
        <rFont val="Calibri"/>
        <family val="2"/>
        <scheme val="minor"/>
      </rPr>
      <t xml:space="preserve">mpcard@tpg.com.au </t>
    </r>
  </si>
  <si>
    <t>Important!!!</t>
  </si>
  <si>
    <t>This worked example may contain errors so it is essential to have a competent person audit your business case before making any decisions!!!</t>
  </si>
  <si>
    <t>Audits of this business model</t>
  </si>
  <si>
    <t xml:space="preserve">Self audit </t>
  </si>
  <si>
    <t>external competent person</t>
  </si>
  <si>
    <t>Raw data inputs</t>
  </si>
  <si>
    <t>3 Aug 2018  S Khan,  email of "Sales Plan  for Operations to 2025"</t>
  </si>
  <si>
    <t>&lt;-- Every item of input data is exposed in a cell using blue font on a blue background,  (The blue shaded background is not necessary but helps others to immediately identify raw data inputs.)</t>
  </si>
  <si>
    <t>&lt;-- The pink font signifies this entry is preliminary or dubious and so needs to be checked</t>
  </si>
  <si>
    <t>Using data from another worksheet</t>
  </si>
  <si>
    <t xml:space="preserve">An algorithm on one worksheet never directly references a cell in onother worksheet - so there is never a cell from another worksheet hidden away inside a formula. </t>
  </si>
  <si>
    <t>Instead the whole row is first referenced across from the other worksheet as green font on green background.  (The green shaded background is not necessary but helps others to immediately identify data referenced across from another worksheet.)</t>
  </si>
  <si>
    <t>The complete row is referenced across, including its title in column A, to show other people that the correct data is being referenced.</t>
  </si>
  <si>
    <t xml:space="preserve">If a referenced cell is in Column E in the source worksheet then it appears in the same Column E in every other worksheet.  (this greatly reduces errors).  Therefore if 2019 is in column F in one worksheet then it is in column F in every other worksheet </t>
  </si>
  <si>
    <t>Algorithms</t>
  </si>
  <si>
    <t>Real and nominal terms</t>
  </si>
  <si>
    <t>Architecture</t>
  </si>
  <si>
    <r>
      <rPr>
        <b/>
        <sz val="12"/>
        <color theme="1"/>
        <rFont val="Calibri"/>
        <family val="2"/>
        <scheme val="minor"/>
      </rPr>
      <t>Column A</t>
    </r>
    <r>
      <rPr>
        <sz val="12"/>
        <color theme="1"/>
        <rFont val="Calibri"/>
        <family val="2"/>
        <scheme val="minor"/>
      </rPr>
      <t xml:space="preserve"> is used for descriptors and not left blank as an indent</t>
    </r>
  </si>
  <si>
    <r>
      <rPr>
        <b/>
        <sz val="12"/>
        <color theme="1"/>
        <rFont val="Calibri"/>
        <family val="2"/>
        <scheme val="minor"/>
      </rPr>
      <t>Column B</t>
    </r>
    <r>
      <rPr>
        <sz val="12"/>
        <color theme="1"/>
        <rFont val="Calibri"/>
        <family val="2"/>
        <scheme val="minor"/>
      </rPr>
      <t xml:space="preserve"> is used for units - which are in full words and not abbreviations "millions dry tonnes" not "Mdt"</t>
    </r>
  </si>
  <si>
    <r>
      <rPr>
        <b/>
        <sz val="12"/>
        <color theme="1"/>
        <rFont val="Calibri"/>
        <family val="2"/>
        <scheme val="minor"/>
      </rPr>
      <t>Column C</t>
    </r>
    <r>
      <rPr>
        <sz val="12"/>
        <color theme="1"/>
        <rFont val="Calibri"/>
        <family val="2"/>
        <scheme val="minor"/>
      </rPr>
      <t xml:space="preserve"> is for totals (and weighted averages).  These must be completed as checks on input data and results.  These are immediately visible.  They should not be put on the right hand side of the page of workings</t>
    </r>
  </si>
  <si>
    <r>
      <rPr>
        <b/>
        <sz val="12"/>
        <color theme="1"/>
        <rFont val="Calibri"/>
        <family val="2"/>
        <scheme val="minor"/>
      </rPr>
      <t>Column D and to the right</t>
    </r>
    <r>
      <rPr>
        <sz val="12"/>
        <color theme="1"/>
        <rFont val="Calibri"/>
        <family val="2"/>
        <scheme val="minor"/>
      </rPr>
      <t xml:space="preserve"> is for the data and computations.  It can be in months, quarters or years.</t>
    </r>
  </si>
  <si>
    <t>Decrease in income tax from project funding</t>
  </si>
  <si>
    <t>2018 06 06 P Card: There may be little or no change in the tax paid when the interest is deductible because the minimum tax obliterates its impact.</t>
  </si>
  <si>
    <t>Change in income tax/minimum tax from project funding</t>
  </si>
  <si>
    <t>Income tax after project funding - Nominal</t>
  </si>
  <si>
    <t>Closing balance - assessable income losses to be carried forward</t>
  </si>
  <si>
    <t>Assessable income (if positive)</t>
  </si>
  <si>
    <t>Assessable income after any carried losses</t>
  </si>
  <si>
    <t>Opening balance - assessable income losses</t>
  </si>
  <si>
    <t>Assessable income - after interest</t>
  </si>
  <si>
    <t>deduct: -</t>
  </si>
  <si>
    <t>Assessable income - before interest</t>
  </si>
  <si>
    <t>Referenced from the "Taxes" worksheet: -</t>
  </si>
  <si>
    <t>2018 06 06 P Card: Interest is deductible for Income Tax but this does not get fed back to the preceding worksheets!</t>
  </si>
  <si>
    <r>
      <t xml:space="preserve">Income Tax </t>
    </r>
    <r>
      <rPr>
        <i/>
        <sz val="16"/>
        <color rgb="FFFF0000"/>
        <rFont val="Calibri"/>
        <family val="2"/>
        <scheme val="minor"/>
      </rPr>
      <t>- after project funding</t>
    </r>
  </si>
  <si>
    <t>5.Recalculation of Income Tax and Minimum Tax- after project funding</t>
  </si>
  <si>
    <t>closing balance of equity funds invested</t>
  </si>
  <si>
    <t>equity funds - new investment</t>
  </si>
  <si>
    <t>opening balance of equity funds invested</t>
  </si>
  <si>
    <t>4 c.  Equity</t>
  </si>
  <si>
    <t xml:space="preserve">Interest - paid </t>
  </si>
  <si>
    <t>Interest rate on loans</t>
  </si>
  <si>
    <t>2018 07 06 P Card: Interest is part of the financing and so does not get fed back to the 'Net Cashflow (before funding)' in the preceding worksheets!</t>
  </si>
  <si>
    <t>4 b.  Interest on loans</t>
  </si>
  <si>
    <t>project loan - closing balance</t>
  </si>
  <si>
    <r>
      <t>loan -</t>
    </r>
    <r>
      <rPr>
        <b/>
        <i/>
        <sz val="16"/>
        <color rgb="FFFF0000"/>
        <rFont val="Calibri"/>
        <family val="2"/>
        <scheme val="minor"/>
      </rPr>
      <t xml:space="preserve"> repayments</t>
    </r>
  </si>
  <si>
    <t>loan - drawdowns</t>
  </si>
  <si>
    <t>max amount of funding deficit that can be debt funded</t>
  </si>
  <si>
    <t>funds available for drawdown</t>
  </si>
  <si>
    <t>project loan - opening balance</t>
  </si>
  <si>
    <t>max proportion of cash deficit that can be debt funded</t>
  </si>
  <si>
    <t>Loan funds available for drawdown - maximum</t>
  </si>
  <si>
    <t>4 a. Debt</t>
  </si>
  <si>
    <t>4a. Net Cash Flow after donations</t>
  </si>
  <si>
    <t>Donation possible</t>
  </si>
  <si>
    <t>4 a. Donations</t>
  </si>
  <si>
    <r>
      <t>4.  Project Funding</t>
    </r>
    <r>
      <rPr>
        <b/>
        <i/>
        <sz val="22"/>
        <color rgb="FFFF0000"/>
        <rFont val="Calibri"/>
        <family val="2"/>
        <scheme val="minor"/>
      </rPr>
      <t xml:space="preserve"> </t>
    </r>
    <r>
      <rPr>
        <i/>
        <sz val="22"/>
        <color rgb="FFFF0000"/>
        <rFont val="Calibri"/>
        <family val="2"/>
        <scheme val="minor"/>
      </rPr>
      <t xml:space="preserve"> (Financing)</t>
    </r>
  </si>
  <si>
    <t xml:space="preserve">Cash injections needed </t>
  </si>
  <si>
    <t>D. Cash Injections Needed</t>
  </si>
  <si>
    <t>Net Cash Flow before project funding - Nominal</t>
  </si>
  <si>
    <t>C. Converting Net Cash Flow before project funding into Nominal</t>
  </si>
  <si>
    <t>Net Cash Flow - Real</t>
  </si>
  <si>
    <t>From the four worksheets: -</t>
  </si>
  <si>
    <t>B. Net Cash Flow before project funding</t>
  </si>
  <si>
    <t>From the 'Sales&amp;Revenue' worksheet</t>
  </si>
  <si>
    <t>A.  Sales of ABC's</t>
  </si>
  <si>
    <t>Social Enterprise - Activity</t>
  </si>
  <si>
    <t>2018 09 05 Y Khani: "Business Plan for Organic Fertiliser Business in Villages" page 3</t>
  </si>
  <si>
    <t>Start construction of workshops</t>
  </si>
  <si>
    <t>Activity --&gt;</t>
  </si>
  <si>
    <t>Construct waste receival</t>
  </si>
  <si>
    <t>Start constructing processing plant</t>
  </si>
  <si>
    <t>First sales</t>
  </si>
  <si>
    <t>Ramp-up sales</t>
  </si>
  <si>
    <t>Full sales</t>
  </si>
  <si>
    <t>2018 09 05 J Lemon telecon: Assume there will be three weeks of organic fertiliser in working stocks in the plant and in villages</t>
  </si>
  <si>
    <t>$  Real</t>
  </si>
  <si>
    <t>$  Nominal</t>
  </si>
  <si>
    <t>$ Nominal</t>
  </si>
  <si>
    <t xml:space="preserve">Inflation - $ </t>
  </si>
  <si>
    <t>Inflator - $</t>
  </si>
  <si>
    <t>2018 08 02 Global Friendship offers a donation of $15 000 when the annual project net cashflow-after-tax becomes cash positive.</t>
  </si>
  <si>
    <t>2018 08 02 Ben James email:  loan for $20 000 at 8% interest = 0.67% per month.  The interest computed below is approximate.</t>
  </si>
  <si>
    <t>working capital needed</t>
  </si>
  <si>
    <t>working capital - increase/(decrease)</t>
  </si>
  <si>
    <t>2018 09 05 T Chan: "Operation of the Organic Fertiliser Plant"  Approx 3 months of operating costs will be needed at the start of sales as a reserve against problems including slow sales</t>
  </si>
  <si>
    <r>
      <t xml:space="preserve">This worked example of a business case is available free to social enterprises.  (It is available to download from Peter's free website </t>
    </r>
    <r>
      <rPr>
        <u/>
        <sz val="14"/>
        <color rgb="FF0070C0"/>
        <rFont val="Calibri"/>
        <family val="2"/>
      </rPr>
      <t>www.economicevaluation.com.au</t>
    </r>
    <r>
      <rPr>
        <sz val="14"/>
        <rFont val="Calibri"/>
        <family val="2"/>
      </rPr>
      <t xml:space="preserve"> )</t>
    </r>
  </si>
  <si>
    <t>Project funding is in NOMINAL terms.  This does not feed back to the worksheets computing Taxes and Net Cashflow.  Trying to enhance the business case, NPV and IRR by incorporating tax benefits from project funding can be self-deception.</t>
  </si>
  <si>
    <r>
      <rPr>
        <i/>
        <sz val="18"/>
        <color rgb="FFFF0000"/>
        <rFont val="Calibri"/>
        <family val="2"/>
        <scheme val="minor"/>
      </rPr>
      <t>Illustrative</t>
    </r>
    <r>
      <rPr>
        <b/>
        <i/>
        <sz val="18"/>
        <color rgb="FFFF0000"/>
        <rFont val="Calibri"/>
        <family val="2"/>
        <scheme val="minor"/>
      </rPr>
      <t xml:space="preserve"> Project Funding </t>
    </r>
    <r>
      <rPr>
        <i/>
        <sz val="18"/>
        <color rgb="FFFF0000"/>
        <rFont val="Calibri"/>
        <family val="2"/>
        <scheme val="minor"/>
      </rPr>
      <t>(Financing)</t>
    </r>
  </si>
  <si>
    <t>Receive approvals and funding</t>
  </si>
  <si>
    <r>
      <t xml:space="preserve">Complete construction </t>
    </r>
    <r>
      <rPr>
        <sz val="10"/>
        <color rgb="FFFF0000"/>
        <rFont val="Calibri"/>
        <family val="2"/>
        <scheme val="minor"/>
      </rPr>
      <t>&amp; raise working capital</t>
    </r>
  </si>
  <si>
    <t>price of organic fertiliser - including 10% VAT</t>
  </si>
  <si>
    <t>2018 08 22 National Tax Office website: "... pool most other depreciating assets that cost $20,000 or more in a small business asset pool and claim a 15% deduction in the first year (regardless of when you purchased or acquired them during the year)  AND  a 30% deduction each year after the first year"</t>
  </si>
  <si>
    <t>2018 08 22 National Tax Office Website:  VAT or GST is charged at the rate of 10% on the selling price of goods and services.  The VAT paid on inputs credited against VAT to be paid on sales.  Exports are zero rated, which means that VAT is not charged on sales but that VAT on the inputs is refunded.</t>
  </si>
  <si>
    <t>% added</t>
  </si>
  <si>
    <t>VAT as a percentage of final price</t>
  </si>
  <si>
    <t>%</t>
  </si>
  <si>
    <t>VAT credits received on inputs</t>
  </si>
  <si>
    <t>VAT</t>
  </si>
  <si>
    <t>VAT paid on sales</t>
  </si>
  <si>
    <t>2018 08 13 Khan Accounting telecon: To avoid unwarranted rows of very detailed computations that have a minimal impact on results, assume that all inputs are subject to VAT - although some charges may not.</t>
  </si>
  <si>
    <t>2017 08 22 P Carr:  Income tax is computed here on a monthly basis, and paid progressively according to legislation.  Income losses are carried forward</t>
  </si>
  <si>
    <t>2017 08 22 P Carr:  There may be a delay on receiving VAT refunds but because they will be relatively minor, assume they are prompt.</t>
  </si>
  <si>
    <r>
      <t xml:space="preserve">VAT </t>
    </r>
    <r>
      <rPr>
        <sz val="12"/>
        <color theme="1"/>
        <rFont val="Calibri"/>
        <family val="2"/>
        <scheme val="minor"/>
      </rPr>
      <t>- net paid/(net refunded)</t>
    </r>
  </si>
  <si>
    <t>3a.  production of fertiliser</t>
  </si>
  <si>
    <t>3b.  variable cost of production</t>
  </si>
  <si>
    <t>3c.  fixed costs</t>
  </si>
  <si>
    <t>3d.  working capital needed</t>
  </si>
  <si>
    <t>Capex - Start up and sustaining</t>
  </si>
  <si>
    <t>1a . Sales</t>
  </si>
  <si>
    <t>1b.  Debtors</t>
  </si>
  <si>
    <t>sustaining - replacement of whole units of equipment</t>
  </si>
  <si>
    <t>repairs &amp; maintenance</t>
  </si>
  <si>
    <t>2018 09 05 T Chan: "Operation of the Organic Fertiliser Plant"  pages 4 to 8.  Fixed costs will start immediately to support construction and prepare for operations and sales.</t>
  </si>
  <si>
    <t>4a.  VAT  "Value Added Tax"</t>
  </si>
  <si>
    <t>4b.  Income Tax</t>
  </si>
  <si>
    <r>
      <t xml:space="preserve">Every business model must be kept easy for </t>
    </r>
    <r>
      <rPr>
        <b/>
        <u/>
        <sz val="14"/>
        <rFont val="Calibri"/>
        <family val="2"/>
      </rPr>
      <t>others</t>
    </r>
    <r>
      <rPr>
        <b/>
        <sz val="14"/>
        <rFont val="Calibri"/>
        <family val="2"/>
      </rPr>
      <t xml:space="preserve"> </t>
    </r>
    <r>
      <rPr>
        <sz val="14"/>
        <rFont val="Calibri"/>
        <family val="2"/>
      </rPr>
      <t xml:space="preserve">to immediately understand: it must be in small steps in an obvious layout with lots of bold headings and the source of every data input must be </t>
    </r>
    <r>
      <rPr>
        <u/>
        <sz val="14"/>
        <rFont val="Calibri"/>
        <family val="2"/>
      </rPr>
      <t>visible (not in cell notes).</t>
    </r>
  </si>
  <si>
    <t xml:space="preserve">The business model is in REAL terms (excluding inflation) through to net cashflow, IRR and NPV.  </t>
  </si>
  <si>
    <t>Peter Card on 22 Aug 2018</t>
  </si>
  <si>
    <t>Yet to be completed - please arrange your own!</t>
  </si>
  <si>
    <r>
      <rPr>
        <b/>
        <sz val="11"/>
        <color theme="1"/>
        <rFont val="Calibri"/>
        <family val="2"/>
        <scheme val="minor"/>
      </rPr>
      <t xml:space="preserve">Links </t>
    </r>
    <r>
      <rPr>
        <sz val="11"/>
        <color theme="1"/>
        <rFont val="Calibri"/>
        <family val="2"/>
        <scheme val="minor"/>
      </rPr>
      <t>to other workbooks is forbidden.  (Too many disasters in the past.)</t>
    </r>
  </si>
  <si>
    <r>
      <t xml:space="preserve">This example uses </t>
    </r>
    <r>
      <rPr>
        <i/>
        <sz val="12"/>
        <color theme="1"/>
        <rFont val="Calibri"/>
        <family val="2"/>
        <scheme val="minor"/>
      </rPr>
      <t xml:space="preserve">italics for nominal terms data </t>
    </r>
    <r>
      <rPr>
        <sz val="12"/>
        <color theme="1"/>
        <rFont val="Calibri"/>
        <family val="2"/>
        <scheme val="minor"/>
      </rPr>
      <t>and vertical font for real terms data</t>
    </r>
  </si>
  <si>
    <t xml:space="preserve">One-page Business Model </t>
  </si>
  <si>
    <r>
      <t xml:space="preserve">NPV after 48 months </t>
    </r>
    <r>
      <rPr>
        <sz val="12"/>
        <color theme="1"/>
        <rFont val="Calibri"/>
        <family val="2"/>
        <scheme val="minor"/>
      </rPr>
      <t xml:space="preserve"> (before funding)</t>
    </r>
  </si>
  <si>
    <r>
      <t xml:space="preserve">Net Cashflow after 48 months </t>
    </r>
    <r>
      <rPr>
        <sz val="9"/>
        <color theme="1"/>
        <rFont val="Calibri"/>
        <family val="2"/>
        <scheme val="minor"/>
      </rPr>
      <t>(before funding)</t>
    </r>
  </si>
  <si>
    <r>
      <t xml:space="preserve">2018 08 24 P Card: </t>
    </r>
    <r>
      <rPr>
        <b/>
        <sz val="12"/>
        <color rgb="FF3399FF"/>
        <rFont val="Calibri"/>
        <family val="2"/>
        <scheme val="minor"/>
      </rPr>
      <t>The preceding business model is in Real terms.</t>
    </r>
    <r>
      <rPr>
        <b/>
        <i/>
        <sz val="12"/>
        <color rgb="FF3399FF"/>
        <rFont val="Calibri"/>
        <family val="2"/>
        <scheme val="minor"/>
      </rPr>
      <t xml:space="preserve">  The project funding below is in nominal terms - including inflation </t>
    </r>
    <r>
      <rPr>
        <i/>
        <sz val="12"/>
        <color rgb="FF3399FF"/>
        <rFont val="Calibri"/>
        <family val="2"/>
        <scheme val="minor"/>
      </rPr>
      <t>(Hence in Italics)</t>
    </r>
  </si>
  <si>
    <t>2018 08 09 P Carr: @2% annual inflation is 0.17% per month</t>
  </si>
  <si>
    <t>2018 08 02 Ben James email with attachments: Offers a loan of up to $30 000 during first 12 months. It can be a maximum of 50% of the cash deficit from operations after tax.  Repayments take priority when the project has excess cash generated.</t>
  </si>
  <si>
    <t>2018 08 06 P Carter: Assume that equity injections will have to make up any shortfall in funding when the project cashflow is negative and so cover any interest payments</t>
  </si>
  <si>
    <t>read from graph of net cashflow</t>
  </si>
  <si>
    <r>
      <t xml:space="preserve">It has the business case in </t>
    </r>
    <r>
      <rPr>
        <u/>
        <sz val="14"/>
        <rFont val="Calibri"/>
        <family val="2"/>
      </rPr>
      <t>one page</t>
    </r>
    <r>
      <rPr>
        <sz val="14"/>
        <rFont val="Calibri"/>
        <family val="2"/>
      </rPr>
      <t xml:space="preserve"> and the project funding in </t>
    </r>
    <r>
      <rPr>
        <u/>
        <sz val="14"/>
        <rFont val="Calibri"/>
        <family val="2"/>
      </rPr>
      <t>another page</t>
    </r>
    <r>
      <rPr>
        <sz val="14"/>
        <rFont val="Calibri"/>
        <family val="2"/>
      </rPr>
      <t>.  As a project evolves this business model can be expanded to incorporate a lot more detail and complexity.</t>
    </r>
  </si>
  <si>
    <t>The Social Enterprise proposes to produce and sell organic fertilisers within villages</t>
  </si>
  <si>
    <t>The computations and graphs show the quality of the underlying business and if the enterprise can be self-supporting within 48 months.  (The IRR and NPV should improve after that, as the project matures)</t>
  </si>
  <si>
    <r>
      <t xml:space="preserve">One-page Business Model with One-page Project Funding of a Social Enterprise - 48 months: Village Organic Fertilisers </t>
    </r>
    <r>
      <rPr>
        <sz val="14"/>
        <color rgb="FF3399FF"/>
        <rFont val="Arial"/>
        <family val="2"/>
      </rPr>
      <t>(first 48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</si>
</sst>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mmm\ yyyy"/>
    <numFmt numFmtId="167" formatCode="0.000"/>
    <numFmt numFmtId="168" formatCode="#,##0.000"/>
  </numFmts>
  <fonts count="91" x14ac:knownFonts="1">
    <font>
      <sz val="11"/>
      <color theme="1"/>
      <name val="Calibri"/>
      <family val="2"/>
      <scheme val="minor"/>
    </font>
    <font>
      <sz val="10"/>
      <color indexed="12"/>
      <name val="Arial"/>
      <family val="2"/>
    </font>
    <font>
      <b/>
      <sz val="16"/>
      <color indexed="12"/>
      <name val="Arial"/>
      <family val="2"/>
    </font>
    <font>
      <sz val="11"/>
      <color theme="1"/>
      <name val="Calibri"/>
      <family val="2"/>
      <scheme val="minor"/>
    </font>
    <font>
      <sz val="10"/>
      <color rgb="FF0033CC"/>
      <name val="Arial"/>
      <family val="2"/>
    </font>
    <font>
      <b/>
      <sz val="12"/>
      <color theme="1"/>
      <name val="Calibri"/>
      <family val="2"/>
      <scheme val="minor"/>
    </font>
    <font>
      <b/>
      <sz val="12"/>
      <color rgb="FF000099"/>
      <name val="Calibri"/>
      <family val="2"/>
      <scheme val="minor"/>
    </font>
    <font>
      <b/>
      <sz val="14"/>
      <color theme="1"/>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12"/>
      <color indexed="12"/>
      <name val="Arial"/>
      <family val="2"/>
    </font>
    <font>
      <sz val="12"/>
      <color rgb="FF0033CC"/>
      <name val="Arial"/>
      <family val="2"/>
    </font>
    <font>
      <sz val="10"/>
      <name val="Arial"/>
      <family val="2"/>
    </font>
    <font>
      <sz val="10"/>
      <name val="Calibri"/>
      <family val="2"/>
      <scheme val="minor"/>
    </font>
    <font>
      <sz val="14"/>
      <name val="Calibri"/>
      <family val="2"/>
      <scheme val="minor"/>
    </font>
    <font>
      <sz val="12"/>
      <color rgb="FF00B050"/>
      <name val="Calibri"/>
      <family val="2"/>
      <scheme val="minor"/>
    </font>
    <font>
      <b/>
      <sz val="12"/>
      <color rgb="FFFF0000"/>
      <name val="Calibri"/>
      <family val="2"/>
      <scheme val="minor"/>
    </font>
    <font>
      <b/>
      <sz val="12"/>
      <color theme="9" tint="0.59999389629810485"/>
      <name val="Calibri"/>
      <family val="2"/>
      <scheme val="minor"/>
    </font>
    <font>
      <sz val="12"/>
      <color rgb="FFFF00FF"/>
      <name val="Calibri"/>
      <family val="2"/>
      <scheme val="minor"/>
    </font>
    <font>
      <b/>
      <sz val="12"/>
      <name val="Calibri"/>
      <family val="2"/>
      <scheme val="minor"/>
    </font>
    <font>
      <sz val="12"/>
      <name val="Calibri"/>
      <family val="2"/>
      <scheme val="minor"/>
    </font>
    <font>
      <sz val="12"/>
      <color rgb="FF0070C0"/>
      <name val="Calibri"/>
      <family val="2"/>
      <scheme val="minor"/>
    </font>
    <font>
      <sz val="12"/>
      <color theme="6" tint="-0.499984740745262"/>
      <name val="Calibri"/>
      <family val="2"/>
      <scheme val="minor"/>
    </font>
    <font>
      <sz val="12"/>
      <color rgb="FF000099"/>
      <name val="Calibri"/>
      <family val="2"/>
      <scheme val="minor"/>
    </font>
    <font>
      <sz val="18"/>
      <color theme="1"/>
      <name val="Calibri"/>
      <family val="2"/>
      <scheme val="minor"/>
    </font>
    <font>
      <sz val="12"/>
      <color theme="0" tint="-0.14999847407452621"/>
      <name val="Calibri"/>
      <family val="2"/>
      <scheme val="minor"/>
    </font>
    <font>
      <sz val="12"/>
      <name val="Arial"/>
      <family val="2"/>
    </font>
    <font>
      <b/>
      <sz val="14"/>
      <color indexed="10"/>
      <name val="Calibri"/>
      <family val="2"/>
    </font>
    <font>
      <sz val="10"/>
      <color rgb="FF0070C0"/>
      <name val="Calibri"/>
      <family val="2"/>
      <scheme val="minor"/>
    </font>
    <font>
      <sz val="10"/>
      <color rgb="FF008000"/>
      <name val="Calibri"/>
      <family val="2"/>
      <scheme val="minor"/>
    </font>
    <font>
      <sz val="18"/>
      <color rgb="FF00B050"/>
      <name val="Calibri"/>
      <family val="2"/>
      <scheme val="minor"/>
    </font>
    <font>
      <b/>
      <sz val="14"/>
      <color rgb="FFFF3399"/>
      <name val="Arial"/>
      <family val="2"/>
    </font>
    <font>
      <b/>
      <sz val="14"/>
      <name val="Calibri"/>
      <family val="2"/>
      <scheme val="minor"/>
    </font>
    <font>
      <b/>
      <sz val="10"/>
      <name val="Calibri"/>
      <family val="2"/>
      <scheme val="minor"/>
    </font>
    <font>
      <b/>
      <sz val="16"/>
      <color rgb="FFFF0000"/>
      <name val="Calibri"/>
      <family val="2"/>
      <scheme val="minor"/>
    </font>
    <font>
      <b/>
      <sz val="16"/>
      <color theme="1"/>
      <name val="Calibri"/>
      <family val="2"/>
      <scheme val="minor"/>
    </font>
    <font>
      <b/>
      <sz val="10"/>
      <color rgb="FF0033CC"/>
      <name val="Calibri"/>
      <family val="2"/>
      <scheme val="minor"/>
    </font>
    <font>
      <sz val="10"/>
      <color rgb="FF0033CC"/>
      <name val="Calibri"/>
      <family val="2"/>
      <scheme val="minor"/>
    </font>
    <font>
      <b/>
      <sz val="10"/>
      <color rgb="FFFF0000"/>
      <name val="Calibri"/>
      <family val="2"/>
      <scheme val="minor"/>
    </font>
    <font>
      <sz val="10"/>
      <color rgb="FF92D050"/>
      <name val="Calibri"/>
      <family val="2"/>
      <scheme val="minor"/>
    </font>
    <font>
      <u/>
      <sz val="12"/>
      <color rgb="FF0070C0"/>
      <name val="Calibri"/>
      <family val="2"/>
      <scheme val="minor"/>
    </font>
    <font>
      <b/>
      <sz val="16"/>
      <color indexed="10"/>
      <name val="Calibri"/>
      <family val="2"/>
    </font>
    <font>
      <b/>
      <sz val="16"/>
      <color rgb="FFFF66CC"/>
      <name val="Calibri"/>
      <family val="2"/>
    </font>
    <font>
      <b/>
      <u/>
      <sz val="14"/>
      <name val="Calibri"/>
      <family val="2"/>
    </font>
    <font>
      <b/>
      <sz val="14"/>
      <name val="Calibri"/>
      <family val="2"/>
    </font>
    <font>
      <sz val="14"/>
      <name val="Calibri"/>
      <family val="2"/>
    </font>
    <font>
      <u/>
      <sz val="14"/>
      <name val="Calibri"/>
      <family val="2"/>
    </font>
    <font>
      <b/>
      <sz val="12"/>
      <color rgb="FFFF66CC"/>
      <name val="Calibri"/>
      <family val="2"/>
      <scheme val="minor"/>
    </font>
    <font>
      <b/>
      <sz val="12"/>
      <color rgb="FF0070C0"/>
      <name val="Calibri"/>
      <family val="2"/>
      <scheme val="minor"/>
    </font>
    <font>
      <b/>
      <sz val="12"/>
      <color rgb="FFFF00FF"/>
      <name val="Calibri"/>
      <family val="2"/>
      <scheme val="minor"/>
    </font>
    <font>
      <sz val="12"/>
      <color rgb="FF008000"/>
      <name val="Calibri"/>
      <family val="2"/>
      <scheme val="minor"/>
    </font>
    <font>
      <b/>
      <i/>
      <sz val="12"/>
      <color rgb="FF000099"/>
      <name val="Calibri"/>
      <family val="2"/>
      <scheme val="minor"/>
    </font>
    <font>
      <sz val="9"/>
      <color theme="1"/>
      <name val="Calibri"/>
      <family val="2"/>
      <scheme val="minor"/>
    </font>
    <font>
      <i/>
      <sz val="12"/>
      <color rgb="FF0070C0"/>
      <name val="Calibri"/>
      <family val="2"/>
      <scheme val="minor"/>
    </font>
    <font>
      <i/>
      <sz val="12"/>
      <color theme="1"/>
      <name val="Calibri"/>
      <family val="2"/>
      <scheme val="minor"/>
    </font>
    <font>
      <b/>
      <i/>
      <sz val="12"/>
      <color theme="1"/>
      <name val="Calibri"/>
      <family val="2"/>
      <scheme val="minor"/>
    </font>
    <font>
      <i/>
      <sz val="10"/>
      <color theme="1"/>
      <name val="Calibri"/>
      <family val="2"/>
      <scheme val="minor"/>
    </font>
    <font>
      <b/>
      <i/>
      <sz val="18"/>
      <color rgb="FFFF0000"/>
      <name val="Calibri"/>
      <family val="2"/>
      <scheme val="minor"/>
    </font>
    <font>
      <i/>
      <sz val="16"/>
      <color rgb="FFFF0000"/>
      <name val="Calibri"/>
      <family val="2"/>
      <scheme val="minor"/>
    </font>
    <font>
      <b/>
      <i/>
      <sz val="16"/>
      <color theme="1"/>
      <name val="Calibri"/>
      <family val="2"/>
      <scheme val="minor"/>
    </font>
    <font>
      <b/>
      <i/>
      <sz val="12"/>
      <color rgb="FF0033CC"/>
      <name val="Calibri"/>
      <family val="2"/>
      <scheme val="minor"/>
    </font>
    <font>
      <i/>
      <sz val="14"/>
      <color rgb="FF0070C0"/>
      <name val="Calibri"/>
      <family val="2"/>
      <scheme val="minor"/>
    </font>
    <font>
      <i/>
      <sz val="26"/>
      <color theme="1"/>
      <name val="Calibri"/>
      <family val="2"/>
      <scheme val="minor"/>
    </font>
    <font>
      <i/>
      <sz val="26"/>
      <color rgb="FFFF66CC"/>
      <name val="Calibri"/>
      <family val="2"/>
      <scheme val="minor"/>
    </font>
    <font>
      <b/>
      <i/>
      <sz val="26"/>
      <color rgb="FFFF0000"/>
      <name val="Calibri"/>
      <family val="2"/>
      <scheme val="minor"/>
    </font>
    <font>
      <b/>
      <i/>
      <sz val="18"/>
      <color theme="1"/>
      <name val="Calibri"/>
      <family val="2"/>
      <scheme val="minor"/>
    </font>
    <font>
      <i/>
      <sz val="12"/>
      <color rgb="FF0033CC"/>
      <name val="Calibri"/>
      <family val="2"/>
      <scheme val="minor"/>
    </font>
    <font>
      <i/>
      <sz val="10"/>
      <color rgb="FF0033CC"/>
      <name val="Calibri"/>
      <family val="2"/>
      <scheme val="minor"/>
    </font>
    <font>
      <b/>
      <i/>
      <sz val="16"/>
      <color rgb="FFFF0000"/>
      <name val="Calibri"/>
      <family val="2"/>
      <scheme val="minor"/>
    </font>
    <font>
      <b/>
      <i/>
      <sz val="22"/>
      <color rgb="FFFF0000"/>
      <name val="Calibri"/>
      <family val="2"/>
      <scheme val="minor"/>
    </font>
    <font>
      <i/>
      <sz val="22"/>
      <color rgb="FFFF0000"/>
      <name val="Calibri"/>
      <family val="2"/>
      <scheme val="minor"/>
    </font>
    <font>
      <i/>
      <sz val="18"/>
      <color theme="1"/>
      <name val="Calibri"/>
      <family val="2"/>
      <scheme val="minor"/>
    </font>
    <font>
      <i/>
      <sz val="18"/>
      <color rgb="FFFF0000"/>
      <name val="Calibri"/>
      <family val="2"/>
      <scheme val="minor"/>
    </font>
    <font>
      <sz val="10"/>
      <color rgb="FF00B050"/>
      <name val="Calibri"/>
      <family val="2"/>
      <scheme val="minor"/>
    </font>
    <font>
      <b/>
      <sz val="10"/>
      <color rgb="FF008000"/>
      <name val="Calibri"/>
      <family val="2"/>
      <scheme val="minor"/>
    </font>
    <font>
      <u/>
      <sz val="14"/>
      <color rgb="FF0070C0"/>
      <name val="Calibri"/>
      <family val="2"/>
    </font>
    <font>
      <b/>
      <sz val="22"/>
      <color rgb="FF3399FF"/>
      <name val="Calibri"/>
      <family val="2"/>
      <scheme val="minor"/>
    </font>
    <font>
      <b/>
      <sz val="20"/>
      <color rgb="FF3399FF"/>
      <name val="Arial"/>
      <family val="2"/>
    </font>
    <font>
      <sz val="14"/>
      <color rgb="FF3399FF"/>
      <name val="Arial"/>
      <family val="2"/>
    </font>
    <font>
      <b/>
      <i/>
      <sz val="12"/>
      <color rgb="FF3399FF"/>
      <name val="Calibri"/>
      <family val="2"/>
      <scheme val="minor"/>
    </font>
    <font>
      <b/>
      <sz val="12"/>
      <color rgb="FF3399FF"/>
      <name val="Calibri"/>
      <family val="2"/>
      <scheme val="minor"/>
    </font>
    <font>
      <i/>
      <sz val="12"/>
      <color rgb="FF3399FF"/>
      <name val="Calibri"/>
      <family val="2"/>
      <scheme val="minor"/>
    </font>
    <font>
      <sz val="10"/>
      <color rgb="FFFF0000"/>
      <name val="Calibri"/>
      <family val="2"/>
      <scheme val="minor"/>
    </font>
    <font>
      <b/>
      <sz val="11"/>
      <color theme="1"/>
      <name val="Calibri"/>
      <family val="2"/>
      <scheme val="minor"/>
    </font>
    <font>
      <sz val="12"/>
      <color rgb="FFFF0000"/>
      <name val="Calibri"/>
      <family val="2"/>
      <scheme val="minor"/>
    </font>
    <font>
      <sz val="12"/>
      <color rgb="FF0033CC"/>
      <name val="Calibri"/>
      <family val="2"/>
      <scheme val="minor"/>
    </font>
    <font>
      <sz val="14"/>
      <color indexed="10"/>
      <name val="Calibri"/>
      <family val="2"/>
    </font>
  </fonts>
  <fills count="8">
    <fill>
      <patternFill patternType="none"/>
    </fill>
    <fill>
      <patternFill patternType="gray125"/>
    </fill>
    <fill>
      <patternFill patternType="solid">
        <fgColor rgb="FF99CCFF"/>
        <bgColor indexed="64"/>
      </patternFill>
    </fill>
    <fill>
      <patternFill patternType="solid">
        <fgColor rgb="FFCCFFCC"/>
        <bgColor indexed="64"/>
      </patternFill>
    </fill>
    <fill>
      <patternFill patternType="solid">
        <fgColor rgb="FFF3FAFF"/>
        <bgColor indexed="64"/>
      </patternFill>
    </fill>
    <fill>
      <patternFill patternType="solid">
        <fgColor rgb="FFE7F6FF"/>
        <bgColor indexed="64"/>
      </patternFill>
    </fill>
    <fill>
      <patternFill patternType="solid">
        <fgColor rgb="FFDCFFB9"/>
        <bgColor indexed="64"/>
      </patternFill>
    </fill>
    <fill>
      <patternFill patternType="solid">
        <fgColor rgb="FFE5FFE5"/>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auto="1"/>
      </left>
      <right style="medium">
        <color auto="1"/>
      </right>
      <top style="thin">
        <color auto="1"/>
      </top>
      <bottom style="medium">
        <color auto="1"/>
      </bottom>
      <diagonal/>
    </border>
  </borders>
  <cellStyleXfs count="3">
    <xf numFmtId="0" fontId="0" fillId="0" borderId="0"/>
    <xf numFmtId="9" fontId="3" fillId="0" borderId="0" applyFont="0" applyFill="0" applyBorder="0" applyAlignment="0" applyProtection="0"/>
    <xf numFmtId="0" fontId="12" fillId="0" borderId="0" applyNumberFormat="0" applyFill="0" applyBorder="0" applyAlignment="0" applyProtection="0"/>
  </cellStyleXfs>
  <cellXfs count="262">
    <xf numFmtId="0" fontId="0" fillId="0" borderId="0" xfId="0"/>
    <xf numFmtId="0" fontId="5" fillId="0" borderId="0" xfId="0" applyFont="1" applyAlignment="1">
      <alignment horizontal="center"/>
    </xf>
    <xf numFmtId="9" fontId="6" fillId="2" borderId="0" xfId="0" applyNumberFormat="1" applyFont="1" applyFill="1" applyAlignment="1">
      <alignment horizontal="center"/>
    </xf>
    <xf numFmtId="0" fontId="0" fillId="0" borderId="0" xfId="0" applyFont="1"/>
    <xf numFmtId="0" fontId="8" fillId="0" borderId="0" xfId="0" applyFont="1" applyAlignment="1">
      <alignment horizontal="center"/>
    </xf>
    <xf numFmtId="38" fontId="9" fillId="0" borderId="0" xfId="0" applyNumberFormat="1" applyFont="1" applyAlignment="1">
      <alignment horizontal="center"/>
    </xf>
    <xf numFmtId="0" fontId="5" fillId="0" borderId="0" xfId="0" applyFont="1" applyAlignment="1">
      <alignment horizontal="center" vertical="center"/>
    </xf>
    <xf numFmtId="0" fontId="8" fillId="0" borderId="0" xfId="0" applyFont="1"/>
    <xf numFmtId="0" fontId="5" fillId="0" borderId="0" xfId="0" applyFont="1"/>
    <xf numFmtId="0" fontId="1" fillId="0" borderId="0" xfId="0" applyFont="1" applyFill="1"/>
    <xf numFmtId="15" fontId="1" fillId="0" borderId="0" xfId="0" applyNumberFormat="1" applyFont="1" applyFill="1"/>
    <xf numFmtId="0" fontId="1" fillId="0" borderId="0" xfId="0" applyFont="1" applyFill="1" applyAlignment="1">
      <alignment horizontal="center"/>
    </xf>
    <xf numFmtId="15" fontId="4" fillId="0" borderId="0" xfId="0" applyNumberFormat="1" applyFont="1" applyFill="1" applyAlignment="1">
      <alignment horizontal="center"/>
    </xf>
    <xf numFmtId="0" fontId="11" fillId="0" borderId="0" xfId="0" applyFont="1"/>
    <xf numFmtId="0" fontId="11" fillId="0" borderId="0" xfId="0" applyFont="1" applyFill="1"/>
    <xf numFmtId="0" fontId="13" fillId="0" borderId="0" xfId="0" applyFont="1"/>
    <xf numFmtId="0" fontId="13" fillId="0" borderId="0" xfId="0" applyFont="1" applyAlignment="1">
      <alignment horizontal="center"/>
    </xf>
    <xf numFmtId="3" fontId="8" fillId="0" borderId="0" xfId="0" applyNumberFormat="1" applyFont="1"/>
    <xf numFmtId="3" fontId="8" fillId="0" borderId="0" xfId="0" applyNumberFormat="1" applyFont="1" applyAlignment="1">
      <alignment horizontal="right"/>
    </xf>
    <xf numFmtId="0" fontId="14" fillId="0" borderId="0" xfId="0" applyFont="1" applyFill="1"/>
    <xf numFmtId="15" fontId="14" fillId="0" borderId="0" xfId="0" applyNumberFormat="1" applyFont="1" applyFill="1"/>
    <xf numFmtId="0" fontId="8" fillId="0" borderId="0" xfId="0" applyFont="1" applyFill="1"/>
    <xf numFmtId="0" fontId="14" fillId="0" borderId="0" xfId="0" applyFont="1" applyFill="1" applyAlignment="1">
      <alignment horizontal="center"/>
    </xf>
    <xf numFmtId="15" fontId="15" fillId="0" borderId="0" xfId="0" applyNumberFormat="1" applyFont="1" applyFill="1" applyAlignment="1">
      <alignment horizontal="center"/>
    </xf>
    <xf numFmtId="0" fontId="17" fillId="0" borderId="0" xfId="0" applyFont="1" applyFill="1"/>
    <xf numFmtId="0" fontId="16" fillId="0" borderId="0" xfId="0" applyFont="1" applyFill="1" applyAlignment="1">
      <alignment horizontal="center"/>
    </xf>
    <xf numFmtId="15" fontId="16" fillId="0" borderId="0" xfId="0" applyNumberFormat="1" applyFont="1" applyFill="1" applyAlignment="1">
      <alignment horizontal="center"/>
    </xf>
    <xf numFmtId="0" fontId="17" fillId="0" borderId="0" xfId="0" applyFont="1"/>
    <xf numFmtId="0" fontId="18" fillId="0" borderId="0" xfId="0" applyFont="1"/>
    <xf numFmtId="0" fontId="11" fillId="0" borderId="0" xfId="0" applyFont="1" applyAlignment="1">
      <alignment vertical="center"/>
    </xf>
    <xf numFmtId="0" fontId="11" fillId="0" borderId="0" xfId="0" applyFont="1" applyFill="1" applyAlignment="1">
      <alignment vertical="center"/>
    </xf>
    <xf numFmtId="0" fontId="2" fillId="4" borderId="0" xfId="0" applyFont="1" applyFill="1" applyAlignment="1">
      <alignment vertical="center"/>
    </xf>
    <xf numFmtId="0" fontId="19" fillId="3"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20" fillId="0" borderId="0" xfId="0" applyFont="1" applyAlignment="1">
      <alignment vertical="center"/>
    </xf>
    <xf numFmtId="0" fontId="21" fillId="0" borderId="0" xfId="0" applyFont="1"/>
    <xf numFmtId="164" fontId="5" fillId="0" borderId="0" xfId="1" applyNumberFormat="1" applyFont="1" applyAlignment="1">
      <alignment horizontal="center"/>
    </xf>
    <xf numFmtId="0" fontId="22" fillId="0" borderId="0" xfId="0" applyFont="1" applyAlignment="1">
      <alignment horizontal="center"/>
    </xf>
    <xf numFmtId="0" fontId="20" fillId="0" borderId="0" xfId="0" applyFont="1"/>
    <xf numFmtId="3" fontId="5" fillId="0" borderId="0" xfId="0" applyNumberFormat="1" applyFont="1" applyAlignment="1">
      <alignment horizontal="center"/>
    </xf>
    <xf numFmtId="38" fontId="5" fillId="0" borderId="0" xfId="0" applyNumberFormat="1" applyFont="1"/>
    <xf numFmtId="38" fontId="8" fillId="0" borderId="0" xfId="0" applyNumberFormat="1" applyFont="1"/>
    <xf numFmtId="38" fontId="5" fillId="0" borderId="0" xfId="0" applyNumberFormat="1" applyFont="1" applyAlignment="1">
      <alignment horizontal="center"/>
    </xf>
    <xf numFmtId="0" fontId="26" fillId="0" borderId="0" xfId="0" applyFont="1"/>
    <xf numFmtId="3" fontId="26" fillId="0" borderId="0" xfId="0" applyNumberFormat="1" applyFont="1" applyAlignment="1">
      <alignment horizontal="right"/>
    </xf>
    <xf numFmtId="0" fontId="27" fillId="2" borderId="0" xfId="0" applyFont="1" applyFill="1" applyAlignment="1">
      <alignment horizontal="center"/>
    </xf>
    <xf numFmtId="9" fontId="27" fillId="2" borderId="0" xfId="0" applyNumberFormat="1" applyFont="1" applyFill="1" applyAlignment="1">
      <alignment horizontal="center"/>
    </xf>
    <xf numFmtId="0" fontId="25" fillId="0" borderId="0" xfId="0" applyFont="1"/>
    <xf numFmtId="3" fontId="8" fillId="0" borderId="0" xfId="0" applyNumberFormat="1"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164" fontId="23" fillId="0" borderId="0" xfId="1" applyNumberFormat="1" applyFont="1" applyAlignment="1">
      <alignment horizontal="center" vertical="center"/>
    </xf>
    <xf numFmtId="0" fontId="24" fillId="0" borderId="0" xfId="0" applyFont="1"/>
    <xf numFmtId="0" fontId="24" fillId="0" borderId="0" xfId="2" applyFont="1" applyFill="1"/>
    <xf numFmtId="0" fontId="30" fillId="0" borderId="0" xfId="0" applyFont="1" applyFill="1"/>
    <xf numFmtId="0" fontId="31" fillId="0" borderId="0" xfId="0" applyFont="1" applyFill="1" applyAlignment="1">
      <alignment vertical="center"/>
    </xf>
    <xf numFmtId="0" fontId="32" fillId="0" borderId="0" xfId="0" applyFont="1"/>
    <xf numFmtId="3" fontId="33" fillId="6" borderId="0" xfId="0" applyNumberFormat="1" applyFont="1" applyFill="1" applyAlignment="1">
      <alignment horizontal="left"/>
    </xf>
    <xf numFmtId="0" fontId="34" fillId="3" borderId="0" xfId="0" applyFont="1" applyFill="1" applyAlignment="1">
      <alignment vertical="center"/>
    </xf>
    <xf numFmtId="3" fontId="8" fillId="0" borderId="0" xfId="0" applyNumberFormat="1" applyFont="1" applyAlignment="1">
      <alignment horizontal="center" vertical="center"/>
    </xf>
    <xf numFmtId="0" fontId="8" fillId="0" borderId="0" xfId="0" applyNumberFormat="1" applyFont="1" applyAlignment="1">
      <alignment horizontal="center" vertical="center"/>
    </xf>
    <xf numFmtId="38" fontId="8" fillId="0" borderId="0" xfId="0" applyNumberFormat="1" applyFont="1" applyBorder="1" applyAlignment="1">
      <alignment horizontal="center"/>
    </xf>
    <xf numFmtId="3" fontId="8" fillId="0" borderId="0" xfId="0" applyNumberFormat="1" applyFont="1" applyBorder="1" applyAlignment="1">
      <alignment horizontal="center"/>
    </xf>
    <xf numFmtId="0" fontId="35" fillId="0" borderId="0" xfId="0" applyFont="1" applyFill="1" applyAlignment="1">
      <alignment vertical="center"/>
    </xf>
    <xf numFmtId="0" fontId="17" fillId="0" borderId="0" xfId="0" applyFont="1" applyFill="1" applyAlignment="1">
      <alignment horizontal="center"/>
    </xf>
    <xf numFmtId="0" fontId="38" fillId="0" borderId="0" xfId="0" applyFont="1" applyAlignment="1">
      <alignment vertical="center"/>
    </xf>
    <xf numFmtId="38" fontId="39" fillId="0" borderId="3" xfId="0" applyNumberFormat="1" applyFont="1" applyBorder="1" applyAlignment="1">
      <alignment horizontal="center"/>
    </xf>
    <xf numFmtId="38" fontId="39" fillId="0" borderId="0" xfId="0" applyNumberFormat="1" applyFont="1"/>
    <xf numFmtId="0" fontId="10" fillId="0" borderId="0" xfId="0" applyFont="1" applyAlignment="1">
      <alignment vertical="center"/>
    </xf>
    <xf numFmtId="0" fontId="40" fillId="4" borderId="0" xfId="0" applyFont="1" applyFill="1" applyAlignment="1">
      <alignment horizontal="center"/>
    </xf>
    <xf numFmtId="166" fontId="40" fillId="4" borderId="0" xfId="0" applyNumberFormat="1" applyFont="1" applyFill="1"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42" fillId="0" borderId="0" xfId="0" applyFont="1"/>
    <xf numFmtId="3" fontId="41" fillId="4" borderId="0" xfId="0" applyNumberFormat="1" applyFont="1" applyFill="1"/>
    <xf numFmtId="3" fontId="13" fillId="0" borderId="0" xfId="0" applyNumberFormat="1" applyFont="1" applyAlignment="1">
      <alignment horizontal="center"/>
    </xf>
    <xf numFmtId="3" fontId="40" fillId="4" borderId="0" xfId="0" applyNumberFormat="1" applyFont="1" applyFill="1" applyAlignment="1">
      <alignment horizontal="center"/>
    </xf>
    <xf numFmtId="4" fontId="13" fillId="0" borderId="0" xfId="0" applyNumberFormat="1" applyFont="1" applyAlignment="1">
      <alignment horizontal="center"/>
    </xf>
    <xf numFmtId="4" fontId="40" fillId="4" borderId="0" xfId="0" applyNumberFormat="1" applyFont="1" applyFill="1" applyAlignment="1">
      <alignment horizontal="center"/>
    </xf>
    <xf numFmtId="3" fontId="13" fillId="0" borderId="0" xfId="0" applyNumberFormat="1" applyFont="1"/>
    <xf numFmtId="3" fontId="13" fillId="0" borderId="2" xfId="0" applyNumberFormat="1" applyFont="1" applyBorder="1" applyAlignment="1">
      <alignment horizontal="center"/>
    </xf>
    <xf numFmtId="3" fontId="11" fillId="0" borderId="0" xfId="0" applyNumberFormat="1" applyFont="1"/>
    <xf numFmtId="3" fontId="11" fillId="0" borderId="0" xfId="0" applyNumberFormat="1" applyFont="1" applyAlignment="1">
      <alignment horizontal="center"/>
    </xf>
    <xf numFmtId="0" fontId="37" fillId="0" borderId="0" xfId="0" applyFont="1"/>
    <xf numFmtId="38" fontId="13" fillId="0" borderId="0" xfId="0" applyNumberFormat="1" applyFont="1" applyAlignment="1">
      <alignment horizontal="center"/>
    </xf>
    <xf numFmtId="38" fontId="13" fillId="0" borderId="3" xfId="0" applyNumberFormat="1" applyFont="1" applyBorder="1" applyAlignment="1">
      <alignment horizontal="center"/>
    </xf>
    <xf numFmtId="0" fontId="43" fillId="0" borderId="0" xfId="0" applyFont="1"/>
    <xf numFmtId="166" fontId="17" fillId="0" borderId="0" xfId="0" applyNumberFormat="1" applyFont="1" applyFill="1" applyAlignment="1">
      <alignment horizontal="center"/>
    </xf>
    <xf numFmtId="3" fontId="41" fillId="5" borderId="0" xfId="0" applyNumberFormat="1" applyFont="1" applyFill="1"/>
    <xf numFmtId="3" fontId="40" fillId="5" borderId="0" xfId="0" applyNumberFormat="1" applyFont="1" applyFill="1" applyAlignment="1">
      <alignment horizontal="center"/>
    </xf>
    <xf numFmtId="3" fontId="11" fillId="0" borderId="0" xfId="0" applyNumberFormat="1" applyFont="1" applyBorder="1" applyAlignment="1">
      <alignment horizontal="center"/>
    </xf>
    <xf numFmtId="38" fontId="11" fillId="0" borderId="0" xfId="0" applyNumberFormat="1" applyFont="1" applyBorder="1" applyAlignment="1">
      <alignment horizontal="center"/>
    </xf>
    <xf numFmtId="3" fontId="37" fillId="0" borderId="0" xfId="0" applyNumberFormat="1" applyFont="1" applyFill="1"/>
    <xf numFmtId="3" fontId="17" fillId="0" borderId="0" xfId="0" applyNumberFormat="1" applyFont="1" applyFill="1"/>
    <xf numFmtId="3" fontId="37" fillId="0" borderId="2" xfId="0" applyNumberFormat="1" applyFont="1" applyFill="1" applyBorder="1" applyAlignment="1">
      <alignment horizontal="center"/>
    </xf>
    <xf numFmtId="4" fontId="40" fillId="5" borderId="0" xfId="0" applyNumberFormat="1" applyFont="1" applyFill="1" applyAlignment="1">
      <alignment horizontal="center"/>
    </xf>
    <xf numFmtId="4" fontId="11" fillId="0" borderId="2" xfId="0" applyNumberFormat="1" applyFont="1" applyBorder="1" applyAlignment="1">
      <alignment horizontal="center"/>
    </xf>
    <xf numFmtId="165" fontId="11" fillId="0" borderId="0" xfId="0" applyNumberFormat="1" applyFont="1" applyAlignment="1">
      <alignment horizontal="center"/>
    </xf>
    <xf numFmtId="0" fontId="11" fillId="0" borderId="0" xfId="0" applyFont="1" applyAlignment="1">
      <alignment horizontal="right"/>
    </xf>
    <xf numFmtId="38" fontId="11" fillId="0" borderId="0" xfId="0" applyNumberFormat="1" applyFont="1" applyAlignment="1">
      <alignment horizontal="right"/>
    </xf>
    <xf numFmtId="9" fontId="41" fillId="5" borderId="0" xfId="1" applyFont="1" applyFill="1"/>
    <xf numFmtId="164" fontId="41" fillId="5" borderId="0" xfId="1" applyNumberFormat="1" applyFont="1" applyFill="1" applyAlignment="1">
      <alignment horizontal="center"/>
    </xf>
    <xf numFmtId="38" fontId="11" fillId="0" borderId="0" xfId="0" applyNumberFormat="1" applyFont="1" applyAlignment="1">
      <alignment horizontal="center"/>
    </xf>
    <xf numFmtId="38" fontId="11" fillId="0" borderId="2" xfId="0" applyNumberFormat="1" applyFont="1" applyBorder="1" applyAlignment="1">
      <alignment horizontal="center"/>
    </xf>
    <xf numFmtId="9" fontId="41" fillId="4" borderId="0" xfId="1" applyFont="1" applyFill="1"/>
    <xf numFmtId="9" fontId="41" fillId="4" borderId="0" xfId="1" applyFont="1" applyFill="1" applyAlignment="1">
      <alignment horizontal="center"/>
    </xf>
    <xf numFmtId="38" fontId="11" fillId="0" borderId="0" xfId="0" applyNumberFormat="1" applyFont="1"/>
    <xf numFmtId="38" fontId="13" fillId="0" borderId="0" xfId="0" applyNumberFormat="1" applyFont="1"/>
    <xf numFmtId="38" fontId="13" fillId="0" borderId="0" xfId="0" applyNumberFormat="1" applyFont="1" applyAlignment="1">
      <alignment horizontal="right"/>
    </xf>
    <xf numFmtId="2" fontId="11" fillId="0" borderId="0" xfId="0" applyNumberFormat="1" applyFont="1" applyAlignment="1">
      <alignment horizontal="center"/>
    </xf>
    <xf numFmtId="38" fontId="7" fillId="0" borderId="0" xfId="0" applyNumberFormat="1" applyFont="1" applyAlignment="1">
      <alignment vertical="center"/>
    </xf>
    <xf numFmtId="3" fontId="7" fillId="0" borderId="0" xfId="0" applyNumberFormat="1" applyFont="1" applyAlignment="1">
      <alignment horizontal="center" vertical="center"/>
    </xf>
    <xf numFmtId="0" fontId="36" fillId="0" borderId="0" xfId="0" applyFont="1" applyAlignment="1">
      <alignment vertical="center"/>
    </xf>
    <xf numFmtId="0" fontId="18" fillId="0" borderId="0" xfId="0" applyFont="1" applyAlignment="1">
      <alignment horizontal="left" vertical="center"/>
    </xf>
    <xf numFmtId="164" fontId="18" fillId="0" borderId="0" xfId="1" applyNumberFormat="1" applyFont="1" applyAlignment="1">
      <alignment horizontal="left" vertical="center"/>
    </xf>
    <xf numFmtId="10" fontId="41" fillId="4" borderId="0" xfId="1" applyNumberFormat="1" applyFont="1" applyFill="1" applyAlignment="1">
      <alignment horizontal="center"/>
    </xf>
    <xf numFmtId="167" fontId="11" fillId="0" borderId="1" xfId="0" applyNumberFormat="1" applyFont="1" applyBorder="1" applyAlignment="1">
      <alignment horizontal="center"/>
    </xf>
    <xf numFmtId="38" fontId="11" fillId="0" borderId="1" xfId="0" applyNumberFormat="1" applyFont="1" applyBorder="1" applyAlignment="1">
      <alignment horizontal="center"/>
    </xf>
    <xf numFmtId="38" fontId="7" fillId="0" borderId="0" xfId="0" applyNumberFormat="1" applyFont="1" applyAlignment="1">
      <alignment horizontal="center" vertical="center"/>
    </xf>
    <xf numFmtId="3" fontId="37" fillId="0" borderId="0" xfId="0" applyNumberFormat="1" applyFont="1" applyFill="1" applyBorder="1" applyAlignment="1">
      <alignment horizontal="center"/>
    </xf>
    <xf numFmtId="38" fontId="13" fillId="0" borderId="1" xfId="0" applyNumberFormat="1" applyFont="1" applyBorder="1" applyAlignment="1">
      <alignment horizontal="center"/>
    </xf>
    <xf numFmtId="38" fontId="9" fillId="0" borderId="0" xfId="0" applyNumberFormat="1" applyFont="1"/>
    <xf numFmtId="0" fontId="2" fillId="4"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45" fillId="0" borderId="0" xfId="0" applyFont="1" applyFill="1" applyAlignment="1"/>
    <xf numFmtId="0" fontId="46" fillId="0" borderId="0" xfId="0" applyFont="1" applyFill="1" applyAlignment="1">
      <alignment vertical="center"/>
    </xf>
    <xf numFmtId="15" fontId="4" fillId="0" borderId="0" xfId="0" applyNumberFormat="1" applyFont="1" applyFill="1" applyAlignment="1">
      <alignment horizontal="center" vertical="center"/>
    </xf>
    <xf numFmtId="0" fontId="8" fillId="0" borderId="0" xfId="0" applyFont="1" applyFill="1" applyAlignment="1">
      <alignment horizontal="center" vertical="center"/>
    </xf>
    <xf numFmtId="0" fontId="17" fillId="0" borderId="0" xfId="0" applyFont="1" applyFill="1" applyAlignment="1">
      <alignment horizontal="center" vertical="center"/>
    </xf>
    <xf numFmtId="0" fontId="51" fillId="0" borderId="0" xfId="0" applyFont="1"/>
    <xf numFmtId="0" fontId="17" fillId="0" borderId="0" xfId="0" applyFont="1" applyAlignment="1">
      <alignment horizontal="center" vertical="center"/>
    </xf>
    <xf numFmtId="0" fontId="52" fillId="4" borderId="0" xfId="0" applyFont="1" applyFill="1" applyAlignment="1">
      <alignment horizontal="center"/>
    </xf>
    <xf numFmtId="0" fontId="53" fillId="4" borderId="0" xfId="0" applyFont="1" applyFill="1" applyAlignment="1">
      <alignment horizontal="center"/>
    </xf>
    <xf numFmtId="3" fontId="33" fillId="6" borderId="0" xfId="0" applyNumberFormat="1" applyFont="1" applyFill="1" applyAlignment="1">
      <alignment horizontal="center"/>
    </xf>
    <xf numFmtId="3" fontId="33" fillId="6" borderId="0" xfId="0" applyNumberFormat="1" applyFont="1" applyFill="1" applyAlignment="1">
      <alignment horizontal="center" vertical="center"/>
    </xf>
    <xf numFmtId="0" fontId="5" fillId="0" borderId="1" xfId="0" applyFont="1" applyBorder="1" applyAlignment="1">
      <alignment horizontal="center"/>
    </xf>
    <xf numFmtId="0" fontId="55" fillId="4" borderId="0" xfId="0" applyFont="1" applyFill="1" applyAlignment="1">
      <alignment horizontal="center"/>
    </xf>
    <xf numFmtId="0" fontId="0" fillId="0" borderId="0" xfId="0" applyAlignment="1">
      <alignment horizontal="center" vertical="center"/>
    </xf>
    <xf numFmtId="38" fontId="11" fillId="0" borderId="0" xfId="0" quotePrefix="1" applyNumberFormat="1" applyFont="1"/>
    <xf numFmtId="38" fontId="8" fillId="0" borderId="0" xfId="0" quotePrefix="1" applyNumberFormat="1" applyFont="1"/>
    <xf numFmtId="0" fontId="57" fillId="0" borderId="0" xfId="0" applyFont="1"/>
    <xf numFmtId="0" fontId="58" fillId="0" borderId="0" xfId="0" applyFont="1"/>
    <xf numFmtId="4" fontId="58" fillId="0" borderId="0" xfId="0" quotePrefix="1" applyNumberFormat="1" applyFont="1" applyAlignment="1">
      <alignment horizontal="center"/>
    </xf>
    <xf numFmtId="3" fontId="59" fillId="0" borderId="0" xfId="0" applyNumberFormat="1" applyFont="1" applyAlignment="1">
      <alignment horizontal="center"/>
    </xf>
    <xf numFmtId="3" fontId="60" fillId="0" borderId="0" xfId="0" quotePrefix="1" applyNumberFormat="1" applyFont="1"/>
    <xf numFmtId="3" fontId="58" fillId="0" borderId="0" xfId="0" quotePrefix="1" applyNumberFormat="1" applyFont="1"/>
    <xf numFmtId="38" fontId="58" fillId="0" borderId="0" xfId="0" applyNumberFormat="1" applyFont="1"/>
    <xf numFmtId="38" fontId="58" fillId="0" borderId="0" xfId="0" applyNumberFormat="1" applyFont="1" applyBorder="1" applyAlignment="1">
      <alignment horizontal="center"/>
    </xf>
    <xf numFmtId="38" fontId="59" fillId="0" borderId="0" xfId="0" applyNumberFormat="1" applyFont="1" applyAlignment="1">
      <alignment horizontal="center"/>
    </xf>
    <xf numFmtId="38" fontId="60" fillId="0" borderId="0" xfId="0" quotePrefix="1" applyNumberFormat="1" applyFont="1"/>
    <xf numFmtId="38" fontId="59" fillId="0" borderId="0" xfId="0" quotePrefix="1" applyNumberFormat="1" applyFont="1"/>
    <xf numFmtId="0" fontId="61" fillId="0" borderId="0" xfId="0" applyFont="1" applyAlignment="1">
      <alignment vertical="center"/>
    </xf>
    <xf numFmtId="3" fontId="8" fillId="0" borderId="0" xfId="0" applyNumberFormat="1" applyFont="1" applyBorder="1" applyAlignment="1">
      <alignment horizontal="center" vertical="center"/>
    </xf>
    <xf numFmtId="3" fontId="58" fillId="0" borderId="0" xfId="0" applyNumberFormat="1" applyFont="1"/>
    <xf numFmtId="3" fontId="59" fillId="0" borderId="2" xfId="0" applyNumberFormat="1" applyFont="1" applyBorder="1" applyAlignment="1">
      <alignment horizontal="center"/>
    </xf>
    <xf numFmtId="3" fontId="60" fillId="0" borderId="0" xfId="0" applyNumberFormat="1" applyFont="1"/>
    <xf numFmtId="3" fontId="63" fillId="0" borderId="0" xfId="0" applyNumberFormat="1" applyFont="1"/>
    <xf numFmtId="3" fontId="58" fillId="0" borderId="0" xfId="0" applyNumberFormat="1" applyFont="1" applyBorder="1" applyAlignment="1">
      <alignment horizontal="center"/>
    </xf>
    <xf numFmtId="0" fontId="60" fillId="0" borderId="0" xfId="0" applyFont="1"/>
    <xf numFmtId="38" fontId="58" fillId="0" borderId="0" xfId="0" quotePrefix="1" applyNumberFormat="1" applyFont="1"/>
    <xf numFmtId="38" fontId="59" fillId="0" borderId="0" xfId="0" applyNumberFormat="1" applyFont="1"/>
    <xf numFmtId="38" fontId="59" fillId="0" borderId="0" xfId="0" applyNumberFormat="1" applyFont="1" applyBorder="1" applyAlignment="1">
      <alignment horizontal="center"/>
    </xf>
    <xf numFmtId="38" fontId="64" fillId="5" borderId="1" xfId="0" applyNumberFormat="1" applyFont="1" applyFill="1" applyBorder="1" applyAlignment="1">
      <alignment horizontal="center"/>
    </xf>
    <xf numFmtId="38" fontId="58" fillId="0" borderId="2" xfId="0" quotePrefix="1" applyNumberFormat="1" applyFont="1" applyBorder="1" applyAlignment="1">
      <alignment horizontal="center"/>
    </xf>
    <xf numFmtId="38" fontId="58" fillId="0" borderId="0" xfId="0" quotePrefix="1" applyNumberFormat="1" applyFont="1" applyAlignment="1">
      <alignment horizontal="center"/>
    </xf>
    <xf numFmtId="0" fontId="65" fillId="0" borderId="0" xfId="0" applyFont="1"/>
    <xf numFmtId="3" fontId="66" fillId="0" borderId="0" xfId="0" applyNumberFormat="1" applyFont="1" applyAlignment="1">
      <alignment vertical="center"/>
    </xf>
    <xf numFmtId="165" fontId="66" fillId="0" borderId="0" xfId="0" applyNumberFormat="1" applyFont="1" applyAlignment="1">
      <alignment horizontal="center" vertical="center"/>
    </xf>
    <xf numFmtId="3" fontId="66" fillId="0" borderId="0" xfId="0" applyNumberFormat="1" applyFont="1" applyAlignment="1">
      <alignment horizontal="center" vertical="center"/>
    </xf>
    <xf numFmtId="0" fontId="67" fillId="0" borderId="0" xfId="0" applyFont="1" applyAlignment="1">
      <alignment horizontal="left" vertical="center"/>
    </xf>
    <xf numFmtId="0" fontId="68" fillId="0" borderId="0" xfId="0" applyFont="1" applyAlignment="1">
      <alignment vertical="center"/>
    </xf>
    <xf numFmtId="3" fontId="58" fillId="0" borderId="0" xfId="0" applyNumberFormat="1" applyFont="1" applyAlignment="1">
      <alignment horizontal="center"/>
    </xf>
    <xf numFmtId="38" fontId="58" fillId="0" borderId="0" xfId="0" applyNumberFormat="1" applyFont="1" applyAlignment="1">
      <alignment horizontal="center"/>
    </xf>
    <xf numFmtId="38" fontId="60" fillId="0" borderId="0" xfId="0" applyNumberFormat="1" applyFont="1"/>
    <xf numFmtId="3" fontId="59" fillId="0" borderId="0" xfId="0" applyNumberFormat="1" applyFont="1" applyAlignment="1">
      <alignment vertical="center"/>
    </xf>
    <xf numFmtId="3" fontId="59" fillId="0" borderId="2" xfId="0" applyNumberFormat="1" applyFont="1" applyBorder="1" applyAlignment="1">
      <alignment horizontal="center" vertical="center"/>
    </xf>
    <xf numFmtId="3" fontId="69" fillId="0" borderId="0" xfId="0" applyNumberFormat="1" applyFont="1" applyAlignment="1">
      <alignment horizontal="center" vertical="center"/>
    </xf>
    <xf numFmtId="3" fontId="60" fillId="0" borderId="0" xfId="0" applyNumberFormat="1" applyFont="1" applyAlignment="1">
      <alignment vertical="center"/>
    </xf>
    <xf numFmtId="3" fontId="63" fillId="0" borderId="0" xfId="0" applyNumberFormat="1" applyFont="1" applyAlignment="1">
      <alignment vertical="center"/>
    </xf>
    <xf numFmtId="38" fontId="70" fillId="5" borderId="1" xfId="0" applyNumberFormat="1" applyFont="1" applyFill="1" applyBorder="1" applyAlignment="1">
      <alignment horizontal="center"/>
    </xf>
    <xf numFmtId="3" fontId="61" fillId="0" borderId="0" xfId="0" applyNumberFormat="1" applyFont="1"/>
    <xf numFmtId="3" fontId="71" fillId="5" borderId="0" xfId="0" applyNumberFormat="1" applyFont="1" applyFill="1"/>
    <xf numFmtId="3" fontId="70" fillId="5" borderId="0" xfId="0" applyNumberFormat="1" applyFont="1" applyFill="1"/>
    <xf numFmtId="3" fontId="62" fillId="0" borderId="0" xfId="0" applyNumberFormat="1" applyFont="1"/>
    <xf numFmtId="3" fontId="58" fillId="0" borderId="0" xfId="0" applyNumberFormat="1" applyFont="1" applyAlignment="1">
      <alignment vertical="center"/>
    </xf>
    <xf numFmtId="38" fontId="59" fillId="0" borderId="0" xfId="0" applyNumberFormat="1" applyFont="1" applyAlignment="1">
      <alignment horizontal="center" vertical="center"/>
    </xf>
    <xf numFmtId="38" fontId="59" fillId="0" borderId="2" xfId="0" applyNumberFormat="1" applyFont="1" applyBorder="1" applyAlignment="1">
      <alignment horizontal="center" vertical="center"/>
    </xf>
    <xf numFmtId="0" fontId="59" fillId="0" borderId="0" xfId="0" applyFont="1"/>
    <xf numFmtId="9" fontId="64" fillId="5" borderId="0" xfId="1" applyNumberFormat="1" applyFont="1" applyFill="1" applyAlignment="1">
      <alignment horizontal="center"/>
    </xf>
    <xf numFmtId="3" fontId="64" fillId="5" borderId="0" xfId="0" applyNumberFormat="1" applyFont="1" applyFill="1"/>
    <xf numFmtId="3" fontId="64" fillId="5" borderId="0" xfId="0" applyNumberFormat="1" applyFont="1" applyFill="1" applyAlignment="1">
      <alignment horizontal="center"/>
    </xf>
    <xf numFmtId="38" fontId="58" fillId="0" borderId="0" xfId="0" applyNumberFormat="1" applyFont="1" applyBorder="1" applyAlignment="1">
      <alignment vertical="center"/>
    </xf>
    <xf numFmtId="38" fontId="58" fillId="0" borderId="2" xfId="0" applyNumberFormat="1" applyFont="1" applyBorder="1" applyAlignment="1">
      <alignment horizontal="center" vertical="center"/>
    </xf>
    <xf numFmtId="38" fontId="69" fillId="0" borderId="0" xfId="0" applyNumberFormat="1" applyFont="1" applyBorder="1" applyAlignment="1">
      <alignment horizontal="center" vertical="center"/>
    </xf>
    <xf numFmtId="38" fontId="60" fillId="0" borderId="0" xfId="0" applyNumberFormat="1" applyFont="1" applyAlignment="1">
      <alignment vertical="center"/>
    </xf>
    <xf numFmtId="38" fontId="75" fillId="0" borderId="0" xfId="0" applyNumberFormat="1" applyFont="1"/>
    <xf numFmtId="38" fontId="75" fillId="0" borderId="0" xfId="0" applyNumberFormat="1" applyFont="1" applyBorder="1" applyAlignment="1">
      <alignment horizontal="center"/>
    </xf>
    <xf numFmtId="38" fontId="69" fillId="0" borderId="0" xfId="0" applyNumberFormat="1" applyFont="1" applyAlignment="1">
      <alignment horizontal="center" vertical="center"/>
    </xf>
    <xf numFmtId="38" fontId="75" fillId="0" borderId="0" xfId="0" applyNumberFormat="1" applyFont="1" applyAlignment="1">
      <alignment vertical="center"/>
    </xf>
    <xf numFmtId="38" fontId="69" fillId="0" borderId="0" xfId="0" applyNumberFormat="1" applyFont="1"/>
    <xf numFmtId="38" fontId="59" fillId="0" borderId="3" xfId="0" applyNumberFormat="1" applyFont="1" applyBorder="1" applyAlignment="1">
      <alignment horizontal="center"/>
    </xf>
    <xf numFmtId="38" fontId="63" fillId="0" borderId="0" xfId="0" applyNumberFormat="1" applyFont="1"/>
    <xf numFmtId="3" fontId="72" fillId="0" borderId="0" xfId="0" applyNumberFormat="1" applyFont="1"/>
    <xf numFmtId="38" fontId="58" fillId="0" borderId="0" xfId="0" applyNumberFormat="1" applyFont="1" applyAlignment="1">
      <alignment vertical="center"/>
    </xf>
    <xf numFmtId="38" fontId="59" fillId="0" borderId="4" xfId="0" applyNumberFormat="1" applyFont="1" applyBorder="1" applyAlignment="1">
      <alignment horizontal="center" vertical="center"/>
    </xf>
    <xf numFmtId="38" fontId="59" fillId="0" borderId="0" xfId="0" applyNumberFormat="1" applyFont="1" applyAlignment="1">
      <alignment vertical="center" wrapText="1"/>
    </xf>
    <xf numFmtId="0" fontId="58" fillId="0" borderId="0" xfId="0" applyFont="1" applyBorder="1"/>
    <xf numFmtId="0" fontId="59" fillId="0" borderId="0" xfId="0" applyFont="1" applyBorder="1" applyAlignment="1">
      <alignment horizontal="center"/>
    </xf>
    <xf numFmtId="0" fontId="60" fillId="0" borderId="0" xfId="0" applyFont="1" applyBorder="1"/>
    <xf numFmtId="38" fontId="10" fillId="0" borderId="2" xfId="0" applyNumberFormat="1" applyFont="1" applyBorder="1" applyAlignment="1">
      <alignment horizontal="center" vertical="center"/>
    </xf>
    <xf numFmtId="38" fontId="10" fillId="0" borderId="0" xfId="0" applyNumberFormat="1" applyFont="1" applyAlignment="1">
      <alignment horizontal="center" vertical="center"/>
    </xf>
    <xf numFmtId="3" fontId="10" fillId="0" borderId="0" xfId="0" applyNumberFormat="1" applyFont="1" applyAlignment="1">
      <alignment vertical="center"/>
    </xf>
    <xf numFmtId="165" fontId="8" fillId="0" borderId="0" xfId="0" applyNumberFormat="1" applyFont="1" applyAlignment="1">
      <alignment horizontal="center" vertical="center"/>
    </xf>
    <xf numFmtId="0" fontId="28" fillId="0" borderId="0" xfId="0" applyFont="1" applyAlignment="1">
      <alignment vertical="center" wrapText="1"/>
    </xf>
    <xf numFmtId="0" fontId="77" fillId="3" borderId="0" xfId="0" applyFont="1" applyFill="1" applyAlignment="1">
      <alignment vertical="center"/>
    </xf>
    <xf numFmtId="3" fontId="41" fillId="4" borderId="0" xfId="0" applyNumberFormat="1" applyFont="1" applyFill="1" applyAlignment="1">
      <alignment horizontal="center" vertical="center" wrapText="1"/>
    </xf>
    <xf numFmtId="0" fontId="11" fillId="0" borderId="0" xfId="0" applyFont="1" applyAlignment="1">
      <alignment horizontal="center" vertical="center" wrapText="1"/>
    </xf>
    <xf numFmtId="3" fontId="40" fillId="4" borderId="0" xfId="0" applyNumberFormat="1" applyFont="1" applyFill="1" applyAlignment="1">
      <alignment horizontal="center" vertical="center" wrapText="1"/>
    </xf>
    <xf numFmtId="0" fontId="78" fillId="7" borderId="0" xfId="0" applyFont="1" applyFill="1" applyAlignment="1">
      <alignment horizontal="center" vertical="center"/>
    </xf>
    <xf numFmtId="166" fontId="78" fillId="7" borderId="0" xfId="0" applyNumberFormat="1" applyFont="1" applyFill="1" applyAlignment="1">
      <alignment horizontal="center" vertical="center"/>
    </xf>
    <xf numFmtId="3" fontId="54" fillId="7" borderId="0" xfId="0" applyNumberFormat="1" applyFont="1" applyFill="1"/>
    <xf numFmtId="3" fontId="33" fillId="7" borderId="0" xfId="0" applyNumberFormat="1" applyFont="1" applyFill="1"/>
    <xf numFmtId="3" fontId="54" fillId="7" borderId="0" xfId="0" applyNumberFormat="1" applyFont="1" applyFill="1" applyAlignment="1">
      <alignment horizontal="center"/>
    </xf>
    <xf numFmtId="10" fontId="70" fillId="5" borderId="0" xfId="1" applyNumberFormat="1" applyFont="1" applyFill="1" applyAlignment="1">
      <alignment horizontal="center"/>
    </xf>
    <xf numFmtId="168" fontId="58" fillId="0" borderId="1" xfId="0" applyNumberFormat="1" applyFont="1" applyFill="1" applyBorder="1" applyAlignment="1">
      <alignment horizontal="center"/>
    </xf>
    <xf numFmtId="168" fontId="58" fillId="0" borderId="0" xfId="0" applyNumberFormat="1" applyFont="1" applyBorder="1" applyAlignment="1">
      <alignment horizontal="center"/>
    </xf>
    <xf numFmtId="168" fontId="58" fillId="0" borderId="0" xfId="0" quotePrefix="1" applyNumberFormat="1" applyFont="1" applyAlignment="1">
      <alignment horizontal="center"/>
    </xf>
    <xf numFmtId="9" fontId="54" fillId="7" borderId="0" xfId="1" applyFont="1" applyFill="1"/>
    <xf numFmtId="9" fontId="33" fillId="7" borderId="0" xfId="1" applyFont="1" applyFill="1"/>
    <xf numFmtId="9" fontId="54" fillId="7" borderId="0" xfId="1" applyFont="1" applyFill="1" applyAlignment="1">
      <alignment horizontal="center"/>
    </xf>
    <xf numFmtId="3" fontId="17" fillId="0" borderId="0" xfId="0" applyNumberFormat="1" applyFont="1" applyFill="1" applyBorder="1" applyAlignment="1">
      <alignment horizontal="center"/>
    </xf>
    <xf numFmtId="3" fontId="40" fillId="4" borderId="0" xfId="0" applyNumberFormat="1" applyFont="1" applyFill="1" applyBorder="1" applyAlignment="1">
      <alignment horizontal="center"/>
    </xf>
    <xf numFmtId="38" fontId="37" fillId="0" borderId="2" xfId="0" applyNumberFormat="1" applyFont="1" applyFill="1" applyBorder="1" applyAlignment="1">
      <alignment horizontal="center"/>
    </xf>
    <xf numFmtId="3" fontId="78" fillId="6" borderId="0" xfId="0" applyNumberFormat="1" applyFont="1" applyFill="1" applyAlignment="1">
      <alignment horizontal="center" vertical="center"/>
    </xf>
    <xf numFmtId="0" fontId="49" fillId="0" borderId="0" xfId="0" applyFont="1" applyFill="1" applyAlignment="1">
      <alignment vertical="center"/>
    </xf>
    <xf numFmtId="0" fontId="80" fillId="0" borderId="0" xfId="0" applyFont="1" applyAlignment="1">
      <alignment vertical="center"/>
    </xf>
    <xf numFmtId="0" fontId="81" fillId="4" borderId="0" xfId="0" applyFont="1" applyFill="1" applyAlignment="1">
      <alignment vertical="center"/>
    </xf>
    <xf numFmtId="0" fontId="31" fillId="0" borderId="0" xfId="0" applyFont="1" applyFill="1" applyAlignment="1"/>
    <xf numFmtId="0" fontId="11" fillId="0" borderId="0" xfId="0" applyFont="1" applyAlignment="1"/>
    <xf numFmtId="0" fontId="0" fillId="0" borderId="0" xfId="0" applyAlignment="1"/>
    <xf numFmtId="0" fontId="83" fillId="0" borderId="0" xfId="0" applyFont="1" applyAlignment="1">
      <alignment vertical="center"/>
    </xf>
    <xf numFmtId="0" fontId="11" fillId="0" borderId="0" xfId="0" applyFont="1" applyAlignment="1">
      <alignment horizontal="left" vertical="center"/>
    </xf>
    <xf numFmtId="38" fontId="11" fillId="0" borderId="0" xfId="0" applyNumberFormat="1" applyFont="1" applyAlignment="1">
      <alignment vertical="center"/>
    </xf>
    <xf numFmtId="0" fontId="88" fillId="0" borderId="0" xfId="0" applyFont="1" applyAlignment="1">
      <alignment vertical="center"/>
    </xf>
    <xf numFmtId="3" fontId="89" fillId="5" borderId="0" xfId="0" quotePrefix="1" applyNumberFormat="1" applyFont="1" applyFill="1"/>
    <xf numFmtId="9" fontId="89" fillId="5" borderId="0" xfId="1" applyFont="1" applyFill="1" applyAlignment="1">
      <alignment horizontal="center"/>
    </xf>
    <xf numFmtId="9" fontId="8" fillId="0" borderId="0" xfId="1" applyFont="1"/>
    <xf numFmtId="9" fontId="11" fillId="0" borderId="0" xfId="1" applyFont="1"/>
    <xf numFmtId="9" fontId="8" fillId="0" borderId="0" xfId="1" applyFont="1" applyAlignment="1">
      <alignment horizontal="center"/>
    </xf>
    <xf numFmtId="164" fontId="8" fillId="0" borderId="0" xfId="1" applyNumberFormat="1" applyFont="1" applyAlignment="1">
      <alignment horizontal="center"/>
    </xf>
    <xf numFmtId="3" fontId="8" fillId="0" borderId="0" xfId="0" applyNumberFormat="1" applyFont="1" applyBorder="1"/>
    <xf numFmtId="0" fontId="11" fillId="0" borderId="0" xfId="0" applyFont="1" applyBorder="1"/>
    <xf numFmtId="3" fontId="5" fillId="0" borderId="0" xfId="0" applyNumberFormat="1" applyFont="1"/>
    <xf numFmtId="38" fontId="5" fillId="0" borderId="2" xfId="0" applyNumberFormat="1" applyFont="1" applyBorder="1" applyAlignment="1">
      <alignment horizontal="center"/>
    </xf>
    <xf numFmtId="3" fontId="11" fillId="0" borderId="0" xfId="0" applyNumberFormat="1" applyFont="1" applyBorder="1"/>
    <xf numFmtId="0" fontId="25" fillId="0" borderId="0" xfId="0" applyFont="1" applyBorder="1"/>
    <xf numFmtId="0" fontId="86" fillId="0" borderId="0" xfId="0" applyFont="1"/>
    <xf numFmtId="0" fontId="90" fillId="0" borderId="0" xfId="0" applyFont="1" applyFill="1" applyAlignment="1">
      <alignment vertical="center"/>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00CCFF"/>
      <color rgb="FF008000"/>
      <color rgb="FFFF6699"/>
      <color rgb="FFFFFF66"/>
      <color rgb="FFFFCC99"/>
      <color rgb="FFCC6600"/>
      <color rgb="FFFFFF99"/>
      <color rgb="FFFF99CC"/>
      <color rgb="FFFF33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Four Cash Streams </a:t>
            </a:r>
            <a:r>
              <a:rPr lang="en-US" sz="1600" b="0"/>
              <a:t>before funding</a:t>
            </a:r>
            <a:endParaRPr lang="en-US" sz="2400"/>
          </a:p>
        </c:rich>
      </c:tx>
      <c:layout>
        <c:manualLayout>
          <c:xMode val="edge"/>
          <c:yMode val="edge"/>
          <c:x val="0.27167235248398869"/>
          <c:y val="6.1872156132429378E-2"/>
        </c:manualLayout>
      </c:layout>
      <c:overlay val="1"/>
    </c:title>
    <c:autoTitleDeleted val="0"/>
    <c:plotArea>
      <c:layout>
        <c:manualLayout>
          <c:layoutTarget val="inner"/>
          <c:xMode val="edge"/>
          <c:yMode val="edge"/>
          <c:x val="0.10637922962332411"/>
          <c:y val="4.813581242186217E-2"/>
          <c:w val="0.60891355189615648"/>
          <c:h val="0.86905293751652024"/>
        </c:manualLayout>
      </c:layout>
      <c:barChart>
        <c:barDir val="col"/>
        <c:grouping val="stacked"/>
        <c:varyColors val="0"/>
        <c:ser>
          <c:idx val="0"/>
          <c:order val="0"/>
          <c:tx>
            <c:strRef>
              <c:f>'business model (in Real terms)'!$A$226</c:f>
              <c:strCache>
                <c:ptCount val="1"/>
                <c:pt idx="0">
                  <c:v>Cashstream 2: Capital Costs</c:v>
                </c:pt>
              </c:strCache>
            </c:strRef>
          </c:tx>
          <c:spPr>
            <a:solidFill>
              <a:srgbClr val="00CCFF"/>
            </a:solidFill>
            <a:ln>
              <a:noFill/>
            </a:ln>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terms)'!$D$226:$AY$226</c:f>
              <c:numCache>
                <c:formatCode>#,##0</c:formatCode>
                <c:ptCount val="48"/>
                <c:pt idx="0">
                  <c:v>0</c:v>
                </c:pt>
                <c:pt idx="1">
                  <c:v>-5000</c:v>
                </c:pt>
                <c:pt idx="2">
                  <c:v>-9000</c:v>
                </c:pt>
                <c:pt idx="3">
                  <c:v>-13000</c:v>
                </c:pt>
                <c:pt idx="4">
                  <c:v>-6000</c:v>
                </c:pt>
                <c:pt idx="5">
                  <c:v>-9000</c:v>
                </c:pt>
                <c:pt idx="6">
                  <c:v>0</c:v>
                </c:pt>
                <c:pt idx="7">
                  <c:v>-1000</c:v>
                </c:pt>
                <c:pt idx="8">
                  <c:v>-1000</c:v>
                </c:pt>
                <c:pt idx="9">
                  <c:v>-1000</c:v>
                </c:pt>
                <c:pt idx="10">
                  <c:v>-1000</c:v>
                </c:pt>
                <c:pt idx="11">
                  <c:v>-1000</c:v>
                </c:pt>
                <c:pt idx="12">
                  <c:v>-1000</c:v>
                </c:pt>
                <c:pt idx="13">
                  <c:v>-1000</c:v>
                </c:pt>
                <c:pt idx="14">
                  <c:v>-1000</c:v>
                </c:pt>
                <c:pt idx="15">
                  <c:v>-1000</c:v>
                </c:pt>
                <c:pt idx="16">
                  <c:v>-1000</c:v>
                </c:pt>
                <c:pt idx="17">
                  <c:v>-1000</c:v>
                </c:pt>
                <c:pt idx="18">
                  <c:v>-1000</c:v>
                </c:pt>
                <c:pt idx="19">
                  <c:v>-1000</c:v>
                </c:pt>
                <c:pt idx="20">
                  <c:v>-1000</c:v>
                </c:pt>
                <c:pt idx="21">
                  <c:v>-1000</c:v>
                </c:pt>
                <c:pt idx="22">
                  <c:v>-1000</c:v>
                </c:pt>
                <c:pt idx="23">
                  <c:v>-1000</c:v>
                </c:pt>
                <c:pt idx="24">
                  <c:v>-1000</c:v>
                </c:pt>
                <c:pt idx="25">
                  <c:v>-1000</c:v>
                </c:pt>
                <c:pt idx="26">
                  <c:v>-1000</c:v>
                </c:pt>
                <c:pt idx="27">
                  <c:v>-1000</c:v>
                </c:pt>
                <c:pt idx="28">
                  <c:v>-1000</c:v>
                </c:pt>
                <c:pt idx="29">
                  <c:v>-1000</c:v>
                </c:pt>
                <c:pt idx="30">
                  <c:v>-1000</c:v>
                </c:pt>
                <c:pt idx="31">
                  <c:v>-1000</c:v>
                </c:pt>
                <c:pt idx="32">
                  <c:v>-1000</c:v>
                </c:pt>
                <c:pt idx="33">
                  <c:v>-1000</c:v>
                </c:pt>
                <c:pt idx="34">
                  <c:v>-1000</c:v>
                </c:pt>
                <c:pt idx="35">
                  <c:v>-1000</c:v>
                </c:pt>
                <c:pt idx="36">
                  <c:v>-1000</c:v>
                </c:pt>
                <c:pt idx="37">
                  <c:v>-1000</c:v>
                </c:pt>
                <c:pt idx="38">
                  <c:v>-1000</c:v>
                </c:pt>
                <c:pt idx="39">
                  <c:v>-1000</c:v>
                </c:pt>
                <c:pt idx="40">
                  <c:v>-1000</c:v>
                </c:pt>
                <c:pt idx="41">
                  <c:v>-1000</c:v>
                </c:pt>
                <c:pt idx="42">
                  <c:v>-1000</c:v>
                </c:pt>
                <c:pt idx="43">
                  <c:v>-1000</c:v>
                </c:pt>
                <c:pt idx="44">
                  <c:v>-1000</c:v>
                </c:pt>
                <c:pt idx="45">
                  <c:v>-1000</c:v>
                </c:pt>
                <c:pt idx="46">
                  <c:v>0</c:v>
                </c:pt>
                <c:pt idx="47">
                  <c:v>0</c:v>
                </c:pt>
              </c:numCache>
            </c:numRef>
          </c:val>
          <c:extLst>
            <c:ext xmlns:c16="http://schemas.microsoft.com/office/drawing/2014/chart" uri="{C3380CC4-5D6E-409C-BE32-E72D297353CC}">
              <c16:uniqueId val="{00000000-B2E7-4456-8A2F-F0ED508E4B79}"/>
            </c:ext>
          </c:extLst>
        </c:ser>
        <c:ser>
          <c:idx val="1"/>
          <c:order val="1"/>
          <c:tx>
            <c:strRef>
              <c:f>'business model (in Real terms)'!$A$227</c:f>
              <c:strCache>
                <c:ptCount val="1"/>
                <c:pt idx="0">
                  <c:v>Cashstream 3: Operating Costs</c:v>
                </c:pt>
              </c:strCache>
            </c:strRef>
          </c:tx>
          <c:spPr>
            <a:solidFill>
              <a:srgbClr val="FFFF00"/>
            </a:solidFill>
            <a:ln>
              <a:noFill/>
            </a:ln>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terms)'!$D$227:$AY$227</c:f>
              <c:numCache>
                <c:formatCode>#,##0</c:formatCode>
                <c:ptCount val="48"/>
                <c:pt idx="0">
                  <c:v>-1210</c:v>
                </c:pt>
                <c:pt idx="1">
                  <c:v>-1210</c:v>
                </c:pt>
                <c:pt idx="2">
                  <c:v>-1210</c:v>
                </c:pt>
                <c:pt idx="3">
                  <c:v>-1210</c:v>
                </c:pt>
                <c:pt idx="4">
                  <c:v>-1210</c:v>
                </c:pt>
                <c:pt idx="5">
                  <c:v>-19210</c:v>
                </c:pt>
                <c:pt idx="6">
                  <c:v>-5383</c:v>
                </c:pt>
                <c:pt idx="7">
                  <c:v>-5800.3</c:v>
                </c:pt>
                <c:pt idx="8">
                  <c:v>-6259.33</c:v>
                </c:pt>
                <c:pt idx="9">
                  <c:v>-6764.2629999999999</c:v>
                </c:pt>
                <c:pt idx="10">
                  <c:v>-7319.6893</c:v>
                </c:pt>
                <c:pt idx="11">
                  <c:v>-7930.6582300000018</c:v>
                </c:pt>
                <c:pt idx="12">
                  <c:v>-8602.7240530000017</c:v>
                </c:pt>
                <c:pt idx="13">
                  <c:v>-9341.9964583000037</c:v>
                </c:pt>
                <c:pt idx="14">
                  <c:v>-9569.9963590000025</c:v>
                </c:pt>
                <c:pt idx="15">
                  <c:v>-9569.9963590000025</c:v>
                </c:pt>
                <c:pt idx="16">
                  <c:v>-9569.9963590000025</c:v>
                </c:pt>
                <c:pt idx="17">
                  <c:v>-9569.9963590000025</c:v>
                </c:pt>
                <c:pt idx="18">
                  <c:v>-9569.9963590000025</c:v>
                </c:pt>
                <c:pt idx="19">
                  <c:v>-9569.9963590000025</c:v>
                </c:pt>
                <c:pt idx="20">
                  <c:v>-9569.9963590000025</c:v>
                </c:pt>
                <c:pt idx="21">
                  <c:v>-9569.9963590000025</c:v>
                </c:pt>
                <c:pt idx="22">
                  <c:v>-9569.9963590000025</c:v>
                </c:pt>
                <c:pt idx="23">
                  <c:v>-9569.9963590000025</c:v>
                </c:pt>
                <c:pt idx="24">
                  <c:v>-9569.9963590000025</c:v>
                </c:pt>
                <c:pt idx="25">
                  <c:v>-9569.9963590000025</c:v>
                </c:pt>
                <c:pt idx="26">
                  <c:v>-9569.9963590000025</c:v>
                </c:pt>
                <c:pt idx="27">
                  <c:v>-9569.9963590000025</c:v>
                </c:pt>
                <c:pt idx="28">
                  <c:v>-9569.9963590000025</c:v>
                </c:pt>
                <c:pt idx="29">
                  <c:v>-9569.9963590000025</c:v>
                </c:pt>
                <c:pt idx="30">
                  <c:v>-9569.9963590000025</c:v>
                </c:pt>
                <c:pt idx="31">
                  <c:v>-9569.9963590000025</c:v>
                </c:pt>
                <c:pt idx="32">
                  <c:v>-9569.9963590000025</c:v>
                </c:pt>
                <c:pt idx="33">
                  <c:v>-9569.9963590000025</c:v>
                </c:pt>
                <c:pt idx="34">
                  <c:v>-9569.9963590000025</c:v>
                </c:pt>
                <c:pt idx="35">
                  <c:v>-9569.9963590000025</c:v>
                </c:pt>
                <c:pt idx="36">
                  <c:v>-9569.9963590000025</c:v>
                </c:pt>
                <c:pt idx="37">
                  <c:v>-9569.9963590000025</c:v>
                </c:pt>
                <c:pt idx="38">
                  <c:v>-9569.9963590000025</c:v>
                </c:pt>
                <c:pt idx="39">
                  <c:v>-9569.9963590000025</c:v>
                </c:pt>
                <c:pt idx="40">
                  <c:v>-9569.9963590000025</c:v>
                </c:pt>
                <c:pt idx="41">
                  <c:v>-9569.9963590000025</c:v>
                </c:pt>
                <c:pt idx="42">
                  <c:v>-9569.9963590000025</c:v>
                </c:pt>
                <c:pt idx="43">
                  <c:v>-9569.9963590000025</c:v>
                </c:pt>
                <c:pt idx="44">
                  <c:v>-9569.9963590000025</c:v>
                </c:pt>
                <c:pt idx="45">
                  <c:v>-9569.9963590000025</c:v>
                </c:pt>
                <c:pt idx="46">
                  <c:v>-9569.9963590000025</c:v>
                </c:pt>
                <c:pt idx="47">
                  <c:v>14282.001092299999</c:v>
                </c:pt>
              </c:numCache>
            </c:numRef>
          </c:val>
          <c:extLst>
            <c:ext xmlns:c16="http://schemas.microsoft.com/office/drawing/2014/chart" uri="{C3380CC4-5D6E-409C-BE32-E72D297353CC}">
              <c16:uniqueId val="{00000001-B2E7-4456-8A2F-F0ED508E4B79}"/>
            </c:ext>
          </c:extLst>
        </c:ser>
        <c:ser>
          <c:idx val="2"/>
          <c:order val="2"/>
          <c:tx>
            <c:strRef>
              <c:f>'business model (in Real terms)'!$A$228</c:f>
              <c:strCache>
                <c:ptCount val="1"/>
                <c:pt idx="0">
                  <c:v>Cashstream 4: Taxes</c:v>
                </c:pt>
              </c:strCache>
            </c:strRef>
          </c:tx>
          <c:spPr>
            <a:solidFill>
              <a:srgbClr val="FF6699"/>
            </a:solidFill>
            <a:ln>
              <a:noFill/>
            </a:ln>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terms)'!$D$228:$AY$228</c:f>
              <c:numCache>
                <c:formatCode>#,##0</c:formatCode>
                <c:ptCount val="48"/>
                <c:pt idx="0">
                  <c:v>110.00000000000004</c:v>
                </c:pt>
                <c:pt idx="1">
                  <c:v>564.54545454545473</c:v>
                </c:pt>
                <c:pt idx="2">
                  <c:v>928.18181818181847</c:v>
                </c:pt>
                <c:pt idx="3">
                  <c:v>1291.8181818181822</c:v>
                </c:pt>
                <c:pt idx="4">
                  <c:v>655.45454545454572</c:v>
                </c:pt>
                <c:pt idx="5">
                  <c:v>928.18181818181847</c:v>
                </c:pt>
                <c:pt idx="6">
                  <c:v>-110.63636363636368</c:v>
                </c:pt>
                <c:pt idx="7">
                  <c:v>-41.790909090909054</c:v>
                </c:pt>
                <c:pt idx="8">
                  <c:v>-66.060909090909149</c:v>
                </c:pt>
                <c:pt idx="9">
                  <c:v>-92.757909090909152</c:v>
                </c:pt>
                <c:pt idx="10">
                  <c:v>-122.12460909090908</c:v>
                </c:pt>
                <c:pt idx="11">
                  <c:v>-315.10170421055363</c:v>
                </c:pt>
                <c:pt idx="12">
                  <c:v>-703.68607688387124</c:v>
                </c:pt>
                <c:pt idx="13">
                  <c:v>-839.68209517625212</c:v>
                </c:pt>
                <c:pt idx="14">
                  <c:v>-1175.5753586031676</c:v>
                </c:pt>
                <c:pt idx="15">
                  <c:v>-1174.7999519930638</c:v>
                </c:pt>
                <c:pt idx="16">
                  <c:v>-1174.0406996873373</c:v>
                </c:pt>
                <c:pt idx="17">
                  <c:v>-1173.2972651379798</c:v>
                </c:pt>
                <c:pt idx="18">
                  <c:v>-1172.5693188084008</c:v>
                </c:pt>
                <c:pt idx="19">
                  <c:v>-1171.8565380273546</c:v>
                </c:pt>
                <c:pt idx="20">
                  <c:v>-1171.1586068459135</c:v>
                </c:pt>
                <c:pt idx="21">
                  <c:v>-1170.475215897419</c:v>
                </c:pt>
                <c:pt idx="22">
                  <c:v>-1169.8060622603514</c:v>
                </c:pt>
                <c:pt idx="23">
                  <c:v>-1169.1508493240565</c:v>
                </c:pt>
                <c:pt idx="24">
                  <c:v>-1168.5092866572675</c:v>
                </c:pt>
                <c:pt idx="25">
                  <c:v>-1167.8810898793697</c:v>
                </c:pt>
                <c:pt idx="26">
                  <c:v>-1167.2659805343449</c:v>
                </c:pt>
                <c:pt idx="27">
                  <c:v>-1166.6636859673415</c:v>
                </c:pt>
                <c:pt idx="28">
                  <c:v>-1166.0739392038174</c:v>
                </c:pt>
                <c:pt idx="29">
                  <c:v>-1165.4964788312002</c:v>
                </c:pt>
                <c:pt idx="30">
                  <c:v>-1164.9310488830122</c:v>
                </c:pt>
                <c:pt idx="31">
                  <c:v>-1164.3773987254115</c:v>
                </c:pt>
                <c:pt idx="32">
                  <c:v>-1163.8352829460944</c:v>
                </c:pt>
                <c:pt idx="33">
                  <c:v>-1163.3044612455126</c:v>
                </c:pt>
                <c:pt idx="34">
                  <c:v>-1162.78469833036</c:v>
                </c:pt>
                <c:pt idx="35">
                  <c:v>-1162.2757638092728</c:v>
                </c:pt>
                <c:pt idx="36">
                  <c:v>-1161.7774320907085</c:v>
                </c:pt>
                <c:pt idx="37">
                  <c:v>-1161.2894822829473</c:v>
                </c:pt>
                <c:pt idx="38">
                  <c:v>-1160.8116980961815</c:v>
                </c:pt>
                <c:pt idx="39">
                  <c:v>-1160.3438677466399</c:v>
                </c:pt>
                <c:pt idx="40">
                  <c:v>-1159.8857838627139</c:v>
                </c:pt>
                <c:pt idx="41">
                  <c:v>-1159.4372433930359</c:v>
                </c:pt>
                <c:pt idx="42">
                  <c:v>-1158.9980475164764</c:v>
                </c:pt>
                <c:pt idx="43">
                  <c:v>-1158.5680015540122</c:v>
                </c:pt>
                <c:pt idx="44">
                  <c:v>-1158.1469148824324</c:v>
                </c:pt>
                <c:pt idx="45">
                  <c:v>-1157.7346008498437</c:v>
                </c:pt>
                <c:pt idx="46">
                  <c:v>-1230.7210282080857</c:v>
                </c:pt>
                <c:pt idx="47">
                  <c:v>-3097.4247304100013</c:v>
                </c:pt>
              </c:numCache>
            </c:numRef>
          </c:val>
          <c:extLst>
            <c:ext xmlns:c16="http://schemas.microsoft.com/office/drawing/2014/chart" uri="{C3380CC4-5D6E-409C-BE32-E72D297353CC}">
              <c16:uniqueId val="{00000002-B2E7-4456-8A2F-F0ED508E4B79}"/>
            </c:ext>
          </c:extLst>
        </c:ser>
        <c:ser>
          <c:idx val="3"/>
          <c:order val="3"/>
          <c:tx>
            <c:strRef>
              <c:f>'business model (in Real terms)'!$A$229</c:f>
              <c:strCache>
                <c:ptCount val="1"/>
                <c:pt idx="0">
                  <c:v>Cashflow if positive</c:v>
                </c:pt>
              </c:strCache>
            </c:strRef>
          </c:tx>
          <c:spPr>
            <a:solidFill>
              <a:srgbClr val="00CC00"/>
            </a:solidFill>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terms)'!$D$229:$AY$229</c:f>
              <c:numCache>
                <c:formatCode>#,##0</c:formatCode>
                <c:ptCount val="48"/>
                <c:pt idx="0">
                  <c:v>0</c:v>
                </c:pt>
                <c:pt idx="1">
                  <c:v>0</c:v>
                </c:pt>
                <c:pt idx="2">
                  <c:v>0</c:v>
                </c:pt>
                <c:pt idx="3">
                  <c:v>0</c:v>
                </c:pt>
                <c:pt idx="4">
                  <c:v>0</c:v>
                </c:pt>
                <c:pt idx="5">
                  <c:v>0</c:v>
                </c:pt>
                <c:pt idx="6">
                  <c:v>1106.3636363636363</c:v>
                </c:pt>
                <c:pt idx="7">
                  <c:v>417.90909090909076</c:v>
                </c:pt>
                <c:pt idx="8">
                  <c:v>660.60909090909092</c:v>
                </c:pt>
                <c:pt idx="9">
                  <c:v>927.57909090909129</c:v>
                </c:pt>
                <c:pt idx="10">
                  <c:v>1221.2460909090905</c:v>
                </c:pt>
                <c:pt idx="11">
                  <c:v>1383.6060657894445</c:v>
                </c:pt>
                <c:pt idx="12">
                  <c:v>1385.8924701161297</c:v>
                </c:pt>
                <c:pt idx="13">
                  <c:v>1679.8543065237473</c:v>
                </c:pt>
                <c:pt idx="14">
                  <c:v>2402.1144283968333</c:v>
                </c:pt>
                <c:pt idx="15">
                  <c:v>2402.8898350069376</c:v>
                </c:pt>
                <c:pt idx="16">
                  <c:v>2403.6490873126641</c:v>
                </c:pt>
                <c:pt idx="17">
                  <c:v>2404.3925218620216</c:v>
                </c:pt>
                <c:pt idx="18">
                  <c:v>2405.1204681916006</c:v>
                </c:pt>
                <c:pt idx="19">
                  <c:v>2405.8332489726463</c:v>
                </c:pt>
                <c:pt idx="20">
                  <c:v>2406.5311801540875</c:v>
                </c:pt>
                <c:pt idx="21">
                  <c:v>2407.2145711025823</c:v>
                </c:pt>
                <c:pt idx="22">
                  <c:v>2407.8837247396496</c:v>
                </c:pt>
                <c:pt idx="23">
                  <c:v>2408.5389376759449</c:v>
                </c:pt>
                <c:pt idx="24">
                  <c:v>2409.1805003427335</c:v>
                </c:pt>
                <c:pt idx="25">
                  <c:v>2409.8086971206312</c:v>
                </c:pt>
                <c:pt idx="26">
                  <c:v>2410.4238064656565</c:v>
                </c:pt>
                <c:pt idx="27">
                  <c:v>2411.0261010326594</c:v>
                </c:pt>
                <c:pt idx="28">
                  <c:v>2411.6158477961835</c:v>
                </c:pt>
                <c:pt idx="29">
                  <c:v>2412.1933081688012</c:v>
                </c:pt>
                <c:pt idx="30">
                  <c:v>2412.7587381169888</c:v>
                </c:pt>
                <c:pt idx="31">
                  <c:v>2413.3123882745895</c:v>
                </c:pt>
                <c:pt idx="32">
                  <c:v>2413.8545040539066</c:v>
                </c:pt>
                <c:pt idx="33">
                  <c:v>2414.3853257544888</c:v>
                </c:pt>
                <c:pt idx="34">
                  <c:v>2414.9050886696414</c:v>
                </c:pt>
                <c:pt idx="35">
                  <c:v>2415.4140231907286</c:v>
                </c:pt>
                <c:pt idx="36">
                  <c:v>2415.9123549092928</c:v>
                </c:pt>
                <c:pt idx="37">
                  <c:v>2416.4003047170536</c:v>
                </c:pt>
                <c:pt idx="38">
                  <c:v>2416.8780889038198</c:v>
                </c:pt>
                <c:pt idx="39">
                  <c:v>2417.345919253361</c:v>
                </c:pt>
                <c:pt idx="40">
                  <c:v>2417.8040031372875</c:v>
                </c:pt>
                <c:pt idx="41">
                  <c:v>2418.2525436069654</c:v>
                </c:pt>
                <c:pt idx="42">
                  <c:v>2418.6917394835245</c:v>
                </c:pt>
                <c:pt idx="43">
                  <c:v>2419.1217854459892</c:v>
                </c:pt>
                <c:pt idx="44">
                  <c:v>2419.5428721175685</c:v>
                </c:pt>
                <c:pt idx="45">
                  <c:v>2419.9551861501577</c:v>
                </c:pt>
                <c:pt idx="46">
                  <c:v>3346.9687587919152</c:v>
                </c:pt>
                <c:pt idx="47">
                  <c:v>25332.262507889998</c:v>
                </c:pt>
              </c:numCache>
            </c:numRef>
          </c:val>
          <c:extLst>
            <c:ext xmlns:c16="http://schemas.microsoft.com/office/drawing/2014/chart" uri="{C3380CC4-5D6E-409C-BE32-E72D297353CC}">
              <c16:uniqueId val="{00000003-B2E7-4456-8A2F-F0ED508E4B79}"/>
            </c:ext>
          </c:extLst>
        </c:ser>
        <c:ser>
          <c:idx val="4"/>
          <c:order val="4"/>
          <c:tx>
            <c:strRef>
              <c:f>'business model (in Real terms)'!$A$230</c:f>
              <c:strCache>
                <c:ptCount val="1"/>
                <c:pt idx="0">
                  <c:v>Cashflow Deficit</c:v>
                </c:pt>
              </c:strCache>
            </c:strRef>
          </c:tx>
          <c:spPr>
            <a:noFill/>
            <a:ln w="57150">
              <a:solidFill>
                <a:srgbClr val="FF0000"/>
              </a:solidFill>
              <a:prstDash val="sysDot"/>
            </a:ln>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terms)'!$D$230:$AY$230</c:f>
              <c:numCache>
                <c:formatCode>#,##0</c:formatCode>
                <c:ptCount val="48"/>
                <c:pt idx="0">
                  <c:v>1100</c:v>
                </c:pt>
                <c:pt idx="1">
                  <c:v>5645.454545454545</c:v>
                </c:pt>
                <c:pt idx="2">
                  <c:v>9281.818181818182</c:v>
                </c:pt>
                <c:pt idx="3">
                  <c:v>12918.181818181818</c:v>
                </c:pt>
                <c:pt idx="4">
                  <c:v>6554.545454545454</c:v>
                </c:pt>
                <c:pt idx="5">
                  <c:v>27281.81818181818</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4-B2E7-4456-8A2F-F0ED508E4B79}"/>
            </c:ext>
          </c:extLst>
        </c:ser>
        <c:dLbls>
          <c:showLegendKey val="0"/>
          <c:showVal val="0"/>
          <c:showCatName val="0"/>
          <c:showSerName val="0"/>
          <c:showPercent val="0"/>
          <c:showBubbleSize val="0"/>
        </c:dLbls>
        <c:gapWidth val="0"/>
        <c:overlap val="100"/>
        <c:axId val="275025648"/>
        <c:axId val="275026432"/>
      </c:barChart>
      <c:dateAx>
        <c:axId val="275025648"/>
        <c:scaling>
          <c:orientation val="minMax"/>
        </c:scaling>
        <c:delete val="0"/>
        <c:axPos val="b"/>
        <c:numFmt formatCode="mmm\ yyyy" sourceLinked="1"/>
        <c:majorTickMark val="out"/>
        <c:minorTickMark val="none"/>
        <c:tickLblPos val="nextTo"/>
        <c:txPr>
          <a:bodyPr/>
          <a:lstStyle/>
          <a:p>
            <a:pPr>
              <a:defRPr sz="1200"/>
            </a:pPr>
            <a:endParaRPr lang="en-US"/>
          </a:p>
        </c:txPr>
        <c:crossAx val="275026432"/>
        <c:crosses val="autoZero"/>
        <c:auto val="0"/>
        <c:lblOffset val="100"/>
        <c:baseTimeUnit val="months"/>
      </c:dateAx>
      <c:valAx>
        <c:axId val="275026432"/>
        <c:scaling>
          <c:orientation val="minMax"/>
        </c:scaling>
        <c:delete val="0"/>
        <c:axPos val="l"/>
        <c:majorGridlines/>
        <c:title>
          <c:tx>
            <c:rich>
              <a:bodyPr rot="-5400000" vert="horz"/>
              <a:lstStyle/>
              <a:p>
                <a:pPr>
                  <a:defRPr sz="2400" b="1"/>
                </a:pPr>
                <a:r>
                  <a:rPr lang="en-US" sz="2400" b="1"/>
                  <a:t>$</a:t>
                </a:r>
              </a:p>
            </c:rich>
          </c:tx>
          <c:layout>
            <c:manualLayout>
              <c:xMode val="edge"/>
              <c:yMode val="edge"/>
              <c:x val="1.4792597256599357E-2"/>
              <c:y val="0.51162465741620888"/>
            </c:manualLayout>
          </c:layout>
          <c:overlay val="0"/>
        </c:title>
        <c:numFmt formatCode="#,##0" sourceLinked="0"/>
        <c:majorTickMark val="out"/>
        <c:minorTickMark val="none"/>
        <c:tickLblPos val="nextTo"/>
        <c:txPr>
          <a:bodyPr/>
          <a:lstStyle/>
          <a:p>
            <a:pPr>
              <a:defRPr sz="1600" b="1" baseline="0"/>
            </a:pPr>
            <a:endParaRPr lang="en-US"/>
          </a:p>
        </c:txPr>
        <c:crossAx val="275025648"/>
        <c:crosses val="autoZero"/>
        <c:crossBetween val="between"/>
      </c:valAx>
    </c:plotArea>
    <c:legend>
      <c:legendPos val="r"/>
      <c:layout>
        <c:manualLayout>
          <c:xMode val="edge"/>
          <c:yMode val="edge"/>
          <c:x val="0.73210007656012754"/>
          <c:y val="9.9640377465132129E-2"/>
          <c:w val="0.25618825705959658"/>
          <c:h val="0.74442049423625012"/>
        </c:manualLayout>
      </c:layout>
      <c:overlay val="0"/>
      <c:spPr>
        <a:solidFill>
          <a:schemeClr val="bg1"/>
        </a:solidFill>
      </c:spPr>
      <c:txPr>
        <a:bodyPr/>
        <a:lstStyle/>
        <a:p>
          <a:pPr>
            <a:defRPr sz="1400" b="1"/>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Sales Volumes &amp; Price</a:t>
            </a:r>
          </a:p>
        </c:rich>
      </c:tx>
      <c:layout>
        <c:manualLayout>
          <c:xMode val="edge"/>
          <c:yMode val="edge"/>
          <c:x val="4.7426739552723841E-2"/>
          <c:y val="9.2649336448483114E-3"/>
        </c:manualLayout>
      </c:layout>
      <c:overlay val="1"/>
    </c:title>
    <c:autoTitleDeleted val="0"/>
    <c:plotArea>
      <c:layout>
        <c:manualLayout>
          <c:layoutTarget val="inner"/>
          <c:xMode val="edge"/>
          <c:yMode val="edge"/>
          <c:x val="8.2691533609561566E-2"/>
          <c:y val="0.17426926377101595"/>
          <c:w val="0.65392417882246257"/>
          <c:h val="0.59712889307572459"/>
        </c:manualLayout>
      </c:layout>
      <c:barChart>
        <c:barDir val="col"/>
        <c:grouping val="clustered"/>
        <c:varyColors val="0"/>
        <c:ser>
          <c:idx val="2"/>
          <c:order val="0"/>
          <c:tx>
            <c:strRef>
              <c:f>'business model (in Real terms)'!$A$105</c:f>
              <c:strCache>
                <c:ptCount val="1"/>
                <c:pt idx="0">
                  <c:v>sales of organic fertiliser</c:v>
                </c:pt>
              </c:strCache>
            </c:strRef>
          </c:tx>
          <c:spPr>
            <a:solidFill>
              <a:schemeClr val="accent6">
                <a:lumMod val="75000"/>
              </a:schemeClr>
            </a:solidFill>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terms)'!$D$105:$AY$105</c:f>
              <c:numCache>
                <c:formatCode>#,##0</c:formatCode>
                <c:ptCount val="48"/>
                <c:pt idx="6">
                  <c:v>30000</c:v>
                </c:pt>
                <c:pt idx="7">
                  <c:v>33000</c:v>
                </c:pt>
                <c:pt idx="8">
                  <c:v>36300</c:v>
                </c:pt>
                <c:pt idx="9">
                  <c:v>39930</c:v>
                </c:pt>
                <c:pt idx="10">
                  <c:v>43923</c:v>
                </c:pt>
                <c:pt idx="11">
                  <c:v>48315.3</c:v>
                </c:pt>
                <c:pt idx="12">
                  <c:v>53146.830000000009</c:v>
                </c:pt>
                <c:pt idx="13">
                  <c:v>58461.513000000014</c:v>
                </c:pt>
                <c:pt idx="14">
                  <c:v>64307.664300000019</c:v>
                </c:pt>
                <c:pt idx="15">
                  <c:v>64307.664300000019</c:v>
                </c:pt>
                <c:pt idx="16">
                  <c:v>64307.664300000019</c:v>
                </c:pt>
                <c:pt idx="17">
                  <c:v>64307.664300000019</c:v>
                </c:pt>
                <c:pt idx="18">
                  <c:v>64307.664300000019</c:v>
                </c:pt>
                <c:pt idx="19">
                  <c:v>64307.664300000019</c:v>
                </c:pt>
                <c:pt idx="20">
                  <c:v>64307.664300000019</c:v>
                </c:pt>
                <c:pt idx="21">
                  <c:v>64307.664300000019</c:v>
                </c:pt>
                <c:pt idx="22">
                  <c:v>64307.664300000019</c:v>
                </c:pt>
                <c:pt idx="23">
                  <c:v>64307.664300000019</c:v>
                </c:pt>
                <c:pt idx="24">
                  <c:v>64307.664300000019</c:v>
                </c:pt>
                <c:pt idx="25">
                  <c:v>64307.664300000019</c:v>
                </c:pt>
                <c:pt idx="26">
                  <c:v>64307.664300000019</c:v>
                </c:pt>
                <c:pt idx="27">
                  <c:v>64307.664300000019</c:v>
                </c:pt>
                <c:pt idx="28">
                  <c:v>64307.664300000019</c:v>
                </c:pt>
                <c:pt idx="29">
                  <c:v>64307.664300000019</c:v>
                </c:pt>
                <c:pt idx="30">
                  <c:v>64307.664300000019</c:v>
                </c:pt>
                <c:pt idx="31">
                  <c:v>64307.664300000019</c:v>
                </c:pt>
                <c:pt idx="32">
                  <c:v>64307.664300000019</c:v>
                </c:pt>
                <c:pt idx="33">
                  <c:v>64307.664300000019</c:v>
                </c:pt>
                <c:pt idx="34">
                  <c:v>64307.664300000019</c:v>
                </c:pt>
                <c:pt idx="35">
                  <c:v>64307.664300000019</c:v>
                </c:pt>
                <c:pt idx="36">
                  <c:v>64307.664300000019</c:v>
                </c:pt>
                <c:pt idx="37">
                  <c:v>64307.664300000019</c:v>
                </c:pt>
                <c:pt idx="38">
                  <c:v>64307.664300000019</c:v>
                </c:pt>
                <c:pt idx="39">
                  <c:v>64307.664300000019</c:v>
                </c:pt>
                <c:pt idx="40">
                  <c:v>64307.664300000019</c:v>
                </c:pt>
                <c:pt idx="41">
                  <c:v>64307.664300000019</c:v>
                </c:pt>
                <c:pt idx="42">
                  <c:v>64307.664300000019</c:v>
                </c:pt>
                <c:pt idx="43">
                  <c:v>64307.664300000019</c:v>
                </c:pt>
                <c:pt idx="44">
                  <c:v>64307.664300000019</c:v>
                </c:pt>
                <c:pt idx="45">
                  <c:v>64307.664300000019</c:v>
                </c:pt>
                <c:pt idx="46">
                  <c:v>64307.664300000019</c:v>
                </c:pt>
                <c:pt idx="47">
                  <c:v>64307.664300000019</c:v>
                </c:pt>
              </c:numCache>
            </c:numRef>
          </c:val>
          <c:extLst>
            <c:ext xmlns:c16="http://schemas.microsoft.com/office/drawing/2014/chart" uri="{C3380CC4-5D6E-409C-BE32-E72D297353CC}">
              <c16:uniqueId val="{00000001-A789-478E-AA46-F0BBF8E22E7D}"/>
            </c:ext>
          </c:extLst>
        </c:ser>
        <c:dLbls>
          <c:showLegendKey val="0"/>
          <c:showVal val="0"/>
          <c:showCatName val="0"/>
          <c:showSerName val="0"/>
          <c:showPercent val="0"/>
          <c:showBubbleSize val="0"/>
        </c:dLbls>
        <c:gapWidth val="10"/>
        <c:axId val="275019768"/>
        <c:axId val="275020160"/>
      </c:barChart>
      <c:lineChart>
        <c:grouping val="standard"/>
        <c:varyColors val="0"/>
        <c:ser>
          <c:idx val="0"/>
          <c:order val="1"/>
          <c:tx>
            <c:strRef>
              <c:f>'business model (in Real terms)'!$A$106</c:f>
              <c:strCache>
                <c:ptCount val="1"/>
                <c:pt idx="0">
                  <c:v>price of organic fertiliser - including 10% VAT</c:v>
                </c:pt>
              </c:strCache>
            </c:strRef>
          </c:tx>
          <c:spPr>
            <a:ln w="85725">
              <a:solidFill>
                <a:srgbClr val="2AE41C"/>
              </a:solidFill>
              <a:prstDash val="sysDash"/>
            </a:ln>
          </c:spPr>
          <c:marker>
            <c:symbol val="none"/>
          </c:marker>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terms)'!$D$106:$AY$106</c:f>
              <c:numCache>
                <c:formatCode>#,##0.00</c:formatCode>
                <c:ptCount val="48"/>
                <c:pt idx="6">
                  <c:v>0.22</c:v>
                </c:pt>
                <c:pt idx="7">
                  <c:v>0.22</c:v>
                </c:pt>
                <c:pt idx="8">
                  <c:v>0.22</c:v>
                </c:pt>
                <c:pt idx="9">
                  <c:v>0.22</c:v>
                </c:pt>
                <c:pt idx="10">
                  <c:v>0.22</c:v>
                </c:pt>
                <c:pt idx="11">
                  <c:v>0.22</c:v>
                </c:pt>
                <c:pt idx="12">
                  <c:v>0.22</c:v>
                </c:pt>
                <c:pt idx="13">
                  <c:v>0.22</c:v>
                </c:pt>
                <c:pt idx="14">
                  <c:v>0.22</c:v>
                </c:pt>
                <c:pt idx="15">
                  <c:v>0.22</c:v>
                </c:pt>
                <c:pt idx="16">
                  <c:v>0.22</c:v>
                </c:pt>
                <c:pt idx="17">
                  <c:v>0.22</c:v>
                </c:pt>
                <c:pt idx="18">
                  <c:v>0.22</c:v>
                </c:pt>
                <c:pt idx="19">
                  <c:v>0.22</c:v>
                </c:pt>
                <c:pt idx="20">
                  <c:v>0.22</c:v>
                </c:pt>
                <c:pt idx="21">
                  <c:v>0.22</c:v>
                </c:pt>
                <c:pt idx="22">
                  <c:v>0.22</c:v>
                </c:pt>
                <c:pt idx="23">
                  <c:v>0.22</c:v>
                </c:pt>
                <c:pt idx="24">
                  <c:v>0.22</c:v>
                </c:pt>
                <c:pt idx="25">
                  <c:v>0.22</c:v>
                </c:pt>
                <c:pt idx="26">
                  <c:v>0.22</c:v>
                </c:pt>
                <c:pt idx="27">
                  <c:v>0.22</c:v>
                </c:pt>
                <c:pt idx="28">
                  <c:v>0.22</c:v>
                </c:pt>
                <c:pt idx="29">
                  <c:v>0.22</c:v>
                </c:pt>
                <c:pt idx="30">
                  <c:v>0.22</c:v>
                </c:pt>
                <c:pt idx="31">
                  <c:v>0.22</c:v>
                </c:pt>
                <c:pt idx="32">
                  <c:v>0.22</c:v>
                </c:pt>
                <c:pt idx="33">
                  <c:v>0.22</c:v>
                </c:pt>
                <c:pt idx="34">
                  <c:v>0.22</c:v>
                </c:pt>
                <c:pt idx="35">
                  <c:v>0.22</c:v>
                </c:pt>
                <c:pt idx="36">
                  <c:v>0.22</c:v>
                </c:pt>
                <c:pt idx="37">
                  <c:v>0.22</c:v>
                </c:pt>
                <c:pt idx="38">
                  <c:v>0.22</c:v>
                </c:pt>
                <c:pt idx="39">
                  <c:v>0.22</c:v>
                </c:pt>
                <c:pt idx="40">
                  <c:v>0.22</c:v>
                </c:pt>
                <c:pt idx="41">
                  <c:v>0.22</c:v>
                </c:pt>
                <c:pt idx="42">
                  <c:v>0.22</c:v>
                </c:pt>
                <c:pt idx="43">
                  <c:v>0.22</c:v>
                </c:pt>
                <c:pt idx="44">
                  <c:v>0.22</c:v>
                </c:pt>
                <c:pt idx="45">
                  <c:v>0.22</c:v>
                </c:pt>
                <c:pt idx="46">
                  <c:v>0.22</c:v>
                </c:pt>
                <c:pt idx="47">
                  <c:v>0.22</c:v>
                </c:pt>
              </c:numCache>
            </c:numRef>
          </c:val>
          <c:smooth val="0"/>
          <c:extLst>
            <c:ext xmlns:c16="http://schemas.microsoft.com/office/drawing/2014/chart" uri="{C3380CC4-5D6E-409C-BE32-E72D297353CC}">
              <c16:uniqueId val="{00000000-A789-478E-AA46-F0BBF8E22E7D}"/>
            </c:ext>
          </c:extLst>
        </c:ser>
        <c:dLbls>
          <c:showLegendKey val="0"/>
          <c:showVal val="0"/>
          <c:showCatName val="0"/>
          <c:showSerName val="0"/>
          <c:showPercent val="0"/>
          <c:showBubbleSize val="0"/>
        </c:dLbls>
        <c:marker val="1"/>
        <c:smooth val="0"/>
        <c:axId val="540834432"/>
        <c:axId val="540833120"/>
      </c:lineChart>
      <c:dateAx>
        <c:axId val="275019768"/>
        <c:scaling>
          <c:orientation val="minMax"/>
        </c:scaling>
        <c:delete val="0"/>
        <c:axPos val="b"/>
        <c:numFmt formatCode="mmm\ yyyy" sourceLinked="1"/>
        <c:majorTickMark val="out"/>
        <c:minorTickMark val="none"/>
        <c:tickLblPos val="nextTo"/>
        <c:txPr>
          <a:bodyPr/>
          <a:lstStyle/>
          <a:p>
            <a:pPr algn="ctr">
              <a:defRPr lang="en-AU" sz="1100" b="0" i="0" u="none" strike="noStrike" kern="1200" baseline="0">
                <a:solidFill>
                  <a:schemeClr val="tx1"/>
                </a:solidFill>
                <a:latin typeface="+mn-lt"/>
                <a:ea typeface="+mn-ea"/>
                <a:cs typeface="+mn-cs"/>
              </a:defRPr>
            </a:pPr>
            <a:endParaRPr lang="en-US"/>
          </a:p>
        </c:txPr>
        <c:crossAx val="275020160"/>
        <c:crosses val="autoZero"/>
        <c:auto val="1"/>
        <c:lblOffset val="100"/>
        <c:baseTimeUnit val="months"/>
      </c:dateAx>
      <c:valAx>
        <c:axId val="275020160"/>
        <c:scaling>
          <c:orientation val="minMax"/>
        </c:scaling>
        <c:delete val="0"/>
        <c:axPos val="l"/>
        <c:majorGridlines/>
        <c:numFmt formatCode="#,##0" sourceLinked="1"/>
        <c:majorTickMark val="out"/>
        <c:minorTickMark val="none"/>
        <c:tickLblPos val="nextTo"/>
        <c:txPr>
          <a:bodyPr/>
          <a:lstStyle/>
          <a:p>
            <a:pPr>
              <a:defRPr sz="1600" b="1">
                <a:solidFill>
                  <a:sysClr val="windowText" lastClr="000000"/>
                </a:solidFill>
              </a:defRPr>
            </a:pPr>
            <a:endParaRPr lang="en-US"/>
          </a:p>
        </c:txPr>
        <c:crossAx val="275019768"/>
        <c:crosses val="autoZero"/>
        <c:crossBetween val="between"/>
      </c:valAx>
      <c:valAx>
        <c:axId val="540833120"/>
        <c:scaling>
          <c:orientation val="minMax"/>
        </c:scaling>
        <c:delete val="0"/>
        <c:axPos val="r"/>
        <c:numFmt formatCode="#,##0.00" sourceLinked="1"/>
        <c:majorTickMark val="out"/>
        <c:minorTickMark val="none"/>
        <c:tickLblPos val="nextTo"/>
        <c:txPr>
          <a:bodyPr/>
          <a:lstStyle/>
          <a:p>
            <a:pPr>
              <a:defRPr sz="1600" b="1"/>
            </a:pPr>
            <a:endParaRPr lang="en-US"/>
          </a:p>
        </c:txPr>
        <c:crossAx val="540834432"/>
        <c:crosses val="max"/>
        <c:crossBetween val="between"/>
      </c:valAx>
      <c:dateAx>
        <c:axId val="540834432"/>
        <c:scaling>
          <c:orientation val="minMax"/>
        </c:scaling>
        <c:delete val="1"/>
        <c:axPos val="b"/>
        <c:numFmt formatCode="mmm\ yyyy" sourceLinked="1"/>
        <c:majorTickMark val="out"/>
        <c:minorTickMark val="none"/>
        <c:tickLblPos val="nextTo"/>
        <c:crossAx val="540833120"/>
        <c:crosses val="autoZero"/>
        <c:auto val="1"/>
        <c:lblOffset val="100"/>
        <c:baseTimeUnit val="months"/>
      </c:dateAx>
    </c:plotArea>
    <c:legend>
      <c:legendPos val="r"/>
      <c:layout>
        <c:manualLayout>
          <c:xMode val="edge"/>
          <c:yMode val="edge"/>
          <c:x val="0.77380508640351142"/>
          <c:y val="9.402091650800852E-2"/>
          <c:w val="0.22073490813648294"/>
          <c:h val="0.43951475791731898"/>
        </c:manualLayout>
      </c:layout>
      <c:overlay val="0"/>
      <c:txPr>
        <a:bodyPr/>
        <a:lstStyle/>
        <a:p>
          <a:pPr>
            <a:defRPr sz="1400" b="1"/>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Net Cashflow </a:t>
            </a:r>
            <a:r>
              <a:rPr lang="en-US" sz="1600" b="0"/>
              <a:t>before funding</a:t>
            </a:r>
            <a:endParaRPr lang="en-US" sz="2400" b="0"/>
          </a:p>
          <a:p>
            <a:pPr>
              <a:defRPr sz="2400"/>
            </a:pPr>
            <a:endParaRPr lang="en-US" sz="2400"/>
          </a:p>
        </c:rich>
      </c:tx>
      <c:layout>
        <c:manualLayout>
          <c:xMode val="edge"/>
          <c:yMode val="edge"/>
          <c:x val="0.24240103916220915"/>
          <c:y val="4.82293010852732E-2"/>
        </c:manualLayout>
      </c:layout>
      <c:overlay val="0"/>
    </c:title>
    <c:autoTitleDeleted val="0"/>
    <c:plotArea>
      <c:layout>
        <c:manualLayout>
          <c:layoutTarget val="inner"/>
          <c:xMode val="edge"/>
          <c:yMode val="edge"/>
          <c:x val="0.10203268961608807"/>
          <c:y val="6.3661917916008115E-2"/>
          <c:w val="0.62095751578791514"/>
          <c:h val="0.86776247183142985"/>
        </c:manualLayout>
      </c:layout>
      <c:barChart>
        <c:barDir val="col"/>
        <c:grouping val="stacked"/>
        <c:varyColors val="0"/>
        <c:ser>
          <c:idx val="1"/>
          <c:order val="1"/>
          <c:tx>
            <c:strRef>
              <c:f>'business model (in Real terms)'!$A$210</c:f>
              <c:strCache>
                <c:ptCount val="1"/>
                <c:pt idx="0">
                  <c:v>Net Cashflow after 48 months (before funding)</c:v>
                </c:pt>
              </c:strCache>
            </c:strRef>
          </c:tx>
          <c:spPr>
            <a:solidFill>
              <a:srgbClr val="2AE41C"/>
            </a:solidFill>
            <a:ln>
              <a:noFill/>
            </a:ln>
          </c:spPr>
          <c:invertIfNegative val="0"/>
          <c:cat>
            <c:numRef>
              <c:f>'business model (in Real terms)'!$D$97:$H$97</c:f>
              <c:numCache>
                <c:formatCode>mmm\ yyyy</c:formatCode>
                <c:ptCount val="5"/>
                <c:pt idx="0">
                  <c:v>43922</c:v>
                </c:pt>
                <c:pt idx="1">
                  <c:v>43952</c:v>
                </c:pt>
                <c:pt idx="2">
                  <c:v>43983</c:v>
                </c:pt>
                <c:pt idx="3">
                  <c:v>44013</c:v>
                </c:pt>
                <c:pt idx="4">
                  <c:v>44044</c:v>
                </c:pt>
              </c:numCache>
            </c:numRef>
          </c:cat>
          <c:val>
            <c:numRef>
              <c:f>'business model (in Real terms)'!$D$210:$AY$210</c:f>
              <c:numCache>
                <c:formatCode>#,##0_);[Red]\(#,##0\)</c:formatCode>
                <c:ptCount val="48"/>
                <c:pt idx="0">
                  <c:v>-1100</c:v>
                </c:pt>
                <c:pt idx="1">
                  <c:v>-5645.454545454545</c:v>
                </c:pt>
                <c:pt idx="2">
                  <c:v>-9281.818181818182</c:v>
                </c:pt>
                <c:pt idx="3">
                  <c:v>-12918.181818181818</c:v>
                </c:pt>
                <c:pt idx="4">
                  <c:v>-6554.545454545454</c:v>
                </c:pt>
                <c:pt idx="5">
                  <c:v>-27281.81818181818</c:v>
                </c:pt>
                <c:pt idx="6">
                  <c:v>1106.363636363636</c:v>
                </c:pt>
                <c:pt idx="7">
                  <c:v>417.90909090909099</c:v>
                </c:pt>
                <c:pt idx="8">
                  <c:v>660.60909090909081</c:v>
                </c:pt>
                <c:pt idx="9">
                  <c:v>927.57909090909106</c:v>
                </c:pt>
                <c:pt idx="10">
                  <c:v>1221.2460909090896</c:v>
                </c:pt>
                <c:pt idx="11">
                  <c:v>1383.606065789445</c:v>
                </c:pt>
                <c:pt idx="12">
                  <c:v>1385.8924701161304</c:v>
                </c:pt>
                <c:pt idx="13">
                  <c:v>1679.8543065237463</c:v>
                </c:pt>
                <c:pt idx="14">
                  <c:v>2402.1144283968333</c:v>
                </c:pt>
                <c:pt idx="15">
                  <c:v>2402.8898350069376</c:v>
                </c:pt>
                <c:pt idx="16">
                  <c:v>2403.6490873126641</c:v>
                </c:pt>
                <c:pt idx="17">
                  <c:v>2404.3925218620207</c:v>
                </c:pt>
                <c:pt idx="18">
                  <c:v>2405.1204681916006</c:v>
                </c:pt>
                <c:pt idx="19">
                  <c:v>2405.8332489726472</c:v>
                </c:pt>
                <c:pt idx="20">
                  <c:v>2406.5311801540884</c:v>
                </c:pt>
                <c:pt idx="21">
                  <c:v>2407.2145711025823</c:v>
                </c:pt>
                <c:pt idx="22">
                  <c:v>2407.8837247396496</c:v>
                </c:pt>
                <c:pt idx="23">
                  <c:v>2408.5389376759449</c:v>
                </c:pt>
                <c:pt idx="24">
                  <c:v>2409.1805003427344</c:v>
                </c:pt>
                <c:pt idx="25">
                  <c:v>2409.8086971206321</c:v>
                </c:pt>
                <c:pt idx="26">
                  <c:v>2410.4238064656565</c:v>
                </c:pt>
                <c:pt idx="27">
                  <c:v>2411.0261010326594</c:v>
                </c:pt>
                <c:pt idx="28">
                  <c:v>2411.6158477961835</c:v>
                </c:pt>
                <c:pt idx="29">
                  <c:v>2412.1933081688003</c:v>
                </c:pt>
                <c:pt idx="30">
                  <c:v>2412.7587381169888</c:v>
                </c:pt>
                <c:pt idx="31">
                  <c:v>2413.3123882745895</c:v>
                </c:pt>
                <c:pt idx="32">
                  <c:v>2413.8545040539066</c:v>
                </c:pt>
                <c:pt idx="33">
                  <c:v>2414.3853257544888</c:v>
                </c:pt>
                <c:pt idx="34">
                  <c:v>2414.9050886696405</c:v>
                </c:pt>
                <c:pt idx="35">
                  <c:v>2415.4140231907277</c:v>
                </c:pt>
                <c:pt idx="36">
                  <c:v>2415.9123549092928</c:v>
                </c:pt>
                <c:pt idx="37">
                  <c:v>2416.4003047170536</c:v>
                </c:pt>
                <c:pt idx="38">
                  <c:v>2416.8780889038189</c:v>
                </c:pt>
                <c:pt idx="39">
                  <c:v>2417.345919253361</c:v>
                </c:pt>
                <c:pt idx="40">
                  <c:v>2417.8040031372875</c:v>
                </c:pt>
                <c:pt idx="41">
                  <c:v>2418.2525436069645</c:v>
                </c:pt>
                <c:pt idx="42">
                  <c:v>2418.6917394835255</c:v>
                </c:pt>
                <c:pt idx="43">
                  <c:v>2419.1217854459883</c:v>
                </c:pt>
                <c:pt idx="44">
                  <c:v>2419.5428721175685</c:v>
                </c:pt>
                <c:pt idx="45">
                  <c:v>2419.9551861501568</c:v>
                </c:pt>
                <c:pt idx="46">
                  <c:v>3346.9687587919161</c:v>
                </c:pt>
                <c:pt idx="47">
                  <c:v>25332.262507890002</c:v>
                </c:pt>
              </c:numCache>
            </c:numRef>
          </c:val>
          <c:extLst>
            <c:ext xmlns:c16="http://schemas.microsoft.com/office/drawing/2014/chart" uri="{C3380CC4-5D6E-409C-BE32-E72D297353CC}">
              <c16:uniqueId val="{00000000-62CA-44F3-B3F9-F826DCB6EB34}"/>
            </c:ext>
          </c:extLst>
        </c:ser>
        <c:dLbls>
          <c:showLegendKey val="0"/>
          <c:showVal val="0"/>
          <c:showCatName val="0"/>
          <c:showSerName val="0"/>
          <c:showPercent val="0"/>
          <c:showBubbleSize val="0"/>
        </c:dLbls>
        <c:gapWidth val="0"/>
        <c:overlap val="100"/>
        <c:axId val="275021336"/>
        <c:axId val="277108728"/>
      </c:barChart>
      <c:lineChart>
        <c:grouping val="standard"/>
        <c:varyColors val="0"/>
        <c:ser>
          <c:idx val="0"/>
          <c:order val="0"/>
          <c:tx>
            <c:strRef>
              <c:f>'business model (in Real terms)'!$A$212</c:f>
              <c:strCache>
                <c:ptCount val="1"/>
                <c:pt idx="0">
                  <c:v>Net cashflow - Cumulative</c:v>
                </c:pt>
              </c:strCache>
            </c:strRef>
          </c:tx>
          <c:spPr>
            <a:ln w="60325">
              <a:solidFill>
                <a:srgbClr val="008000"/>
              </a:solidFill>
            </a:ln>
          </c:spPr>
          <c:marker>
            <c:symbol val="none"/>
          </c:marker>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terms)'!$D$212:$AY$212</c:f>
              <c:numCache>
                <c:formatCode>#,##0_);[Red]\(#,##0\)</c:formatCode>
                <c:ptCount val="48"/>
                <c:pt idx="0">
                  <c:v>-1100</c:v>
                </c:pt>
                <c:pt idx="1">
                  <c:v>-6745.454545454545</c:v>
                </c:pt>
                <c:pt idx="2">
                  <c:v>-16027.272727272728</c:v>
                </c:pt>
                <c:pt idx="3">
                  <c:v>-28945.454545454544</c:v>
                </c:pt>
                <c:pt idx="4">
                  <c:v>-35500</c:v>
                </c:pt>
                <c:pt idx="5">
                  <c:v>-62781.818181818177</c:v>
                </c:pt>
                <c:pt idx="6">
                  <c:v>-61675.454545454544</c:v>
                </c:pt>
                <c:pt idx="7">
                  <c:v>-61257.545454545456</c:v>
                </c:pt>
                <c:pt idx="8">
                  <c:v>-60596.936363636363</c:v>
                </c:pt>
                <c:pt idx="9">
                  <c:v>-59669.357272727269</c:v>
                </c:pt>
                <c:pt idx="10">
                  <c:v>-58448.111181818182</c:v>
                </c:pt>
                <c:pt idx="11">
                  <c:v>-57064.50511602874</c:v>
                </c:pt>
                <c:pt idx="12">
                  <c:v>-55678.61264591261</c:v>
                </c:pt>
                <c:pt idx="13">
                  <c:v>-53998.758339388864</c:v>
                </c:pt>
                <c:pt idx="14">
                  <c:v>-51596.643910992032</c:v>
                </c:pt>
                <c:pt idx="15">
                  <c:v>-49193.754075985096</c:v>
                </c:pt>
                <c:pt idx="16">
                  <c:v>-46790.104988672436</c:v>
                </c:pt>
                <c:pt idx="17">
                  <c:v>-44385.712466810415</c:v>
                </c:pt>
                <c:pt idx="18">
                  <c:v>-41980.591998618816</c:v>
                </c:pt>
                <c:pt idx="19">
                  <c:v>-39574.758749646171</c:v>
                </c:pt>
                <c:pt idx="20">
                  <c:v>-37168.227569492083</c:v>
                </c:pt>
                <c:pt idx="21">
                  <c:v>-34761.012998389502</c:v>
                </c:pt>
                <c:pt idx="22">
                  <c:v>-32353.129273649851</c:v>
                </c:pt>
                <c:pt idx="23">
                  <c:v>-29944.590335973906</c:v>
                </c:pt>
                <c:pt idx="24">
                  <c:v>-27535.409835631173</c:v>
                </c:pt>
                <c:pt idx="25">
                  <c:v>-25125.601138510541</c:v>
                </c:pt>
                <c:pt idx="26">
                  <c:v>-22715.177332044885</c:v>
                </c:pt>
                <c:pt idx="27">
                  <c:v>-20304.151231012227</c:v>
                </c:pt>
                <c:pt idx="28">
                  <c:v>-17892.535383216044</c:v>
                </c:pt>
                <c:pt idx="29">
                  <c:v>-15480.342075047243</c:v>
                </c:pt>
                <c:pt idx="30">
                  <c:v>-13067.583336930255</c:v>
                </c:pt>
                <c:pt idx="31">
                  <c:v>-10654.270948655665</c:v>
                </c:pt>
                <c:pt idx="32">
                  <c:v>-8240.4164446017585</c:v>
                </c:pt>
                <c:pt idx="33">
                  <c:v>-5826.0311188472697</c:v>
                </c:pt>
                <c:pt idx="34">
                  <c:v>-3411.1260301776292</c:v>
                </c:pt>
                <c:pt idx="35">
                  <c:v>-995.71200698690154</c:v>
                </c:pt>
                <c:pt idx="36">
                  <c:v>1420.2003479223913</c:v>
                </c:pt>
                <c:pt idx="37">
                  <c:v>3836.6006526394449</c:v>
                </c:pt>
                <c:pt idx="38">
                  <c:v>6253.4787415432638</c:v>
                </c:pt>
                <c:pt idx="39">
                  <c:v>8670.8246607966248</c:v>
                </c:pt>
                <c:pt idx="40">
                  <c:v>11088.628663933912</c:v>
                </c:pt>
                <c:pt idx="41">
                  <c:v>13506.881207540877</c:v>
                </c:pt>
                <c:pt idx="42">
                  <c:v>15925.572947024402</c:v>
                </c:pt>
                <c:pt idx="43">
                  <c:v>18344.694732470391</c:v>
                </c:pt>
                <c:pt idx="44">
                  <c:v>20764.237604587957</c:v>
                </c:pt>
                <c:pt idx="45">
                  <c:v>23184.192790738114</c:v>
                </c:pt>
                <c:pt idx="46">
                  <c:v>26531.161549530028</c:v>
                </c:pt>
                <c:pt idx="47">
                  <c:v>51863.42405742003</c:v>
                </c:pt>
              </c:numCache>
            </c:numRef>
          </c:val>
          <c:smooth val="0"/>
          <c:extLst>
            <c:ext xmlns:c16="http://schemas.microsoft.com/office/drawing/2014/chart" uri="{C3380CC4-5D6E-409C-BE32-E72D297353CC}">
              <c16:uniqueId val="{00000000-9E2F-4FEE-A9BB-E6CC3E60004E}"/>
            </c:ext>
          </c:extLst>
        </c:ser>
        <c:dLbls>
          <c:showLegendKey val="0"/>
          <c:showVal val="0"/>
          <c:showCatName val="0"/>
          <c:showSerName val="0"/>
          <c:showPercent val="0"/>
          <c:showBubbleSize val="0"/>
        </c:dLbls>
        <c:marker val="1"/>
        <c:smooth val="0"/>
        <c:axId val="275021336"/>
        <c:axId val="277108728"/>
      </c:lineChart>
      <c:dateAx>
        <c:axId val="275021336"/>
        <c:scaling>
          <c:orientation val="minMax"/>
        </c:scaling>
        <c:delete val="0"/>
        <c:axPos val="b"/>
        <c:numFmt formatCode="mmm\ yyyy" sourceLinked="1"/>
        <c:majorTickMark val="out"/>
        <c:minorTickMark val="none"/>
        <c:tickLblPos val="nextTo"/>
        <c:txPr>
          <a:bodyPr/>
          <a:lstStyle/>
          <a:p>
            <a:pPr>
              <a:defRPr sz="1200" b="0"/>
            </a:pPr>
            <a:endParaRPr lang="en-US"/>
          </a:p>
        </c:txPr>
        <c:crossAx val="277108728"/>
        <c:crosses val="autoZero"/>
        <c:auto val="1"/>
        <c:lblOffset val="100"/>
        <c:baseTimeUnit val="months"/>
      </c:dateAx>
      <c:valAx>
        <c:axId val="277108728"/>
        <c:scaling>
          <c:orientation val="minMax"/>
        </c:scaling>
        <c:delete val="0"/>
        <c:axPos val="l"/>
        <c:majorGridlines/>
        <c:title>
          <c:tx>
            <c:rich>
              <a:bodyPr rot="-5400000" vert="horz"/>
              <a:lstStyle/>
              <a:p>
                <a:pPr>
                  <a:defRPr sz="2400"/>
                </a:pPr>
                <a:r>
                  <a:rPr lang="en-US" sz="2400"/>
                  <a:t>$</a:t>
                </a:r>
              </a:p>
            </c:rich>
          </c:tx>
          <c:layout>
            <c:manualLayout>
              <c:xMode val="edge"/>
              <c:yMode val="edge"/>
              <c:x val="1.0524695597327655E-2"/>
              <c:y val="0.30162301092108856"/>
            </c:manualLayout>
          </c:layout>
          <c:overlay val="0"/>
        </c:title>
        <c:numFmt formatCode="#,##0" sourceLinked="0"/>
        <c:majorTickMark val="out"/>
        <c:minorTickMark val="none"/>
        <c:tickLblPos val="nextTo"/>
        <c:txPr>
          <a:bodyPr/>
          <a:lstStyle/>
          <a:p>
            <a:pPr>
              <a:defRPr sz="1600"/>
            </a:pPr>
            <a:endParaRPr lang="en-US"/>
          </a:p>
        </c:txPr>
        <c:crossAx val="275021336"/>
        <c:crosses val="autoZero"/>
        <c:crossBetween val="between"/>
      </c:valAx>
    </c:plotArea>
    <c:legend>
      <c:legendPos val="r"/>
      <c:layout>
        <c:manualLayout>
          <c:xMode val="edge"/>
          <c:yMode val="edge"/>
          <c:x val="0.73977139097162448"/>
          <c:y val="0.22609592542155063"/>
          <c:w val="0.22416402454861412"/>
          <c:h val="0.47186560810313022"/>
        </c:manualLayout>
      </c:layout>
      <c:overlay val="0"/>
      <c:txPr>
        <a:bodyPr/>
        <a:lstStyle/>
        <a:p>
          <a:pPr>
            <a:defRPr sz="1200" b="1"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Operating Costs</a:t>
            </a:r>
          </a:p>
        </c:rich>
      </c:tx>
      <c:layout>
        <c:manualLayout>
          <c:xMode val="edge"/>
          <c:yMode val="edge"/>
          <c:x val="9.9969819512906052E-2"/>
          <c:y val="4.0386865450901116E-2"/>
        </c:manualLayout>
      </c:layout>
      <c:overlay val="1"/>
    </c:title>
    <c:autoTitleDeleted val="0"/>
    <c:plotArea>
      <c:layout>
        <c:manualLayout>
          <c:layoutTarget val="inner"/>
          <c:xMode val="edge"/>
          <c:yMode val="edge"/>
          <c:x val="9.4375154045485701E-2"/>
          <c:y val="6.4350645709759513E-2"/>
          <c:w val="0.6362198802156489"/>
          <c:h val="0.8788128385405769"/>
        </c:manualLayout>
      </c:layout>
      <c:barChart>
        <c:barDir val="col"/>
        <c:grouping val="stacked"/>
        <c:varyColors val="0"/>
        <c:ser>
          <c:idx val="2"/>
          <c:order val="0"/>
          <c:tx>
            <c:strRef>
              <c:f>'business model (in Real terms)'!$A$151</c:f>
              <c:strCache>
                <c:ptCount val="1"/>
                <c:pt idx="0">
                  <c:v>fixed costs</c:v>
                </c:pt>
              </c:strCache>
            </c:strRef>
          </c:tx>
          <c:spPr>
            <a:solidFill>
              <a:srgbClr val="CC6600"/>
            </a:solidFill>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terms)'!$D$151:$AY$151</c:f>
              <c:numCache>
                <c:formatCode>#,##0</c:formatCode>
                <c:ptCount val="48"/>
                <c:pt idx="0">
                  <c:v>1210</c:v>
                </c:pt>
                <c:pt idx="1">
                  <c:v>1210</c:v>
                </c:pt>
                <c:pt idx="2">
                  <c:v>1210</c:v>
                </c:pt>
                <c:pt idx="3">
                  <c:v>1210</c:v>
                </c:pt>
                <c:pt idx="4">
                  <c:v>1210</c:v>
                </c:pt>
                <c:pt idx="5">
                  <c:v>1210</c:v>
                </c:pt>
                <c:pt idx="6">
                  <c:v>1210</c:v>
                </c:pt>
                <c:pt idx="7">
                  <c:v>1210</c:v>
                </c:pt>
                <c:pt idx="8">
                  <c:v>1210</c:v>
                </c:pt>
                <c:pt idx="9">
                  <c:v>1210</c:v>
                </c:pt>
                <c:pt idx="10">
                  <c:v>1210</c:v>
                </c:pt>
                <c:pt idx="11">
                  <c:v>1210</c:v>
                </c:pt>
                <c:pt idx="12">
                  <c:v>1210</c:v>
                </c:pt>
                <c:pt idx="13">
                  <c:v>1210</c:v>
                </c:pt>
                <c:pt idx="14">
                  <c:v>1210</c:v>
                </c:pt>
                <c:pt idx="15">
                  <c:v>1210</c:v>
                </c:pt>
                <c:pt idx="16">
                  <c:v>1210</c:v>
                </c:pt>
                <c:pt idx="17">
                  <c:v>1210</c:v>
                </c:pt>
                <c:pt idx="18">
                  <c:v>1210</c:v>
                </c:pt>
                <c:pt idx="19">
                  <c:v>1210</c:v>
                </c:pt>
                <c:pt idx="20">
                  <c:v>1210</c:v>
                </c:pt>
                <c:pt idx="21">
                  <c:v>1210</c:v>
                </c:pt>
                <c:pt idx="22">
                  <c:v>1210</c:v>
                </c:pt>
                <c:pt idx="23">
                  <c:v>1210</c:v>
                </c:pt>
                <c:pt idx="24">
                  <c:v>1210</c:v>
                </c:pt>
                <c:pt idx="25">
                  <c:v>1210</c:v>
                </c:pt>
                <c:pt idx="26">
                  <c:v>1210</c:v>
                </c:pt>
                <c:pt idx="27">
                  <c:v>1210</c:v>
                </c:pt>
                <c:pt idx="28">
                  <c:v>1210</c:v>
                </c:pt>
                <c:pt idx="29">
                  <c:v>1210</c:v>
                </c:pt>
                <c:pt idx="30">
                  <c:v>1210</c:v>
                </c:pt>
                <c:pt idx="31">
                  <c:v>1210</c:v>
                </c:pt>
                <c:pt idx="32">
                  <c:v>1210</c:v>
                </c:pt>
                <c:pt idx="33">
                  <c:v>1210</c:v>
                </c:pt>
                <c:pt idx="34">
                  <c:v>1210</c:v>
                </c:pt>
                <c:pt idx="35">
                  <c:v>1210</c:v>
                </c:pt>
                <c:pt idx="36">
                  <c:v>1210</c:v>
                </c:pt>
                <c:pt idx="37">
                  <c:v>1210</c:v>
                </c:pt>
                <c:pt idx="38">
                  <c:v>1210</c:v>
                </c:pt>
                <c:pt idx="39">
                  <c:v>1210</c:v>
                </c:pt>
                <c:pt idx="40">
                  <c:v>1210</c:v>
                </c:pt>
                <c:pt idx="41">
                  <c:v>1210</c:v>
                </c:pt>
                <c:pt idx="42">
                  <c:v>1210</c:v>
                </c:pt>
                <c:pt idx="43">
                  <c:v>1210</c:v>
                </c:pt>
                <c:pt idx="44">
                  <c:v>1210</c:v>
                </c:pt>
                <c:pt idx="45">
                  <c:v>1210</c:v>
                </c:pt>
                <c:pt idx="46">
                  <c:v>1210</c:v>
                </c:pt>
                <c:pt idx="47">
                  <c:v>1210</c:v>
                </c:pt>
              </c:numCache>
            </c:numRef>
          </c:val>
          <c:extLst>
            <c:ext xmlns:c16="http://schemas.microsoft.com/office/drawing/2014/chart" uri="{C3380CC4-5D6E-409C-BE32-E72D297353CC}">
              <c16:uniqueId val="{00000001-9D80-4537-9BBE-AE3BAE18227C}"/>
            </c:ext>
          </c:extLst>
        </c:ser>
        <c:ser>
          <c:idx val="0"/>
          <c:order val="1"/>
          <c:tx>
            <c:strRef>
              <c:f>'business model (in Real terms)'!$A$141</c:f>
              <c:strCache>
                <c:ptCount val="1"/>
                <c:pt idx="0">
                  <c:v>variable cost of production</c:v>
                </c:pt>
              </c:strCache>
            </c:strRef>
          </c:tx>
          <c:spPr>
            <a:solidFill>
              <a:srgbClr val="FFFF66"/>
            </a:solidFill>
            <a:ln>
              <a:noFill/>
            </a:ln>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terms)'!$D$141:$AY$141</c:f>
              <c:numCache>
                <c:formatCode>#,##0</c:formatCode>
                <c:ptCount val="48"/>
                <c:pt idx="0">
                  <c:v>0</c:v>
                </c:pt>
                <c:pt idx="1">
                  <c:v>0</c:v>
                </c:pt>
                <c:pt idx="2">
                  <c:v>0</c:v>
                </c:pt>
                <c:pt idx="3">
                  <c:v>0</c:v>
                </c:pt>
                <c:pt idx="4">
                  <c:v>0</c:v>
                </c:pt>
                <c:pt idx="5">
                  <c:v>0</c:v>
                </c:pt>
                <c:pt idx="6">
                  <c:v>4173</c:v>
                </c:pt>
                <c:pt idx="7">
                  <c:v>4590.3</c:v>
                </c:pt>
                <c:pt idx="8">
                  <c:v>5049.33</c:v>
                </c:pt>
                <c:pt idx="9">
                  <c:v>5554.2629999999999</c:v>
                </c:pt>
                <c:pt idx="10">
                  <c:v>6109.6893</c:v>
                </c:pt>
                <c:pt idx="11">
                  <c:v>6720.6582300000018</c:v>
                </c:pt>
                <c:pt idx="12">
                  <c:v>7392.7240530000017</c:v>
                </c:pt>
                <c:pt idx="13">
                  <c:v>8131.9964583000028</c:v>
                </c:pt>
                <c:pt idx="14">
                  <c:v>8359.9963590000025</c:v>
                </c:pt>
                <c:pt idx="15">
                  <c:v>8359.9963590000025</c:v>
                </c:pt>
                <c:pt idx="16">
                  <c:v>8359.9963590000025</c:v>
                </c:pt>
                <c:pt idx="17">
                  <c:v>8359.9963590000025</c:v>
                </c:pt>
                <c:pt idx="18">
                  <c:v>8359.9963590000025</c:v>
                </c:pt>
                <c:pt idx="19">
                  <c:v>8359.9963590000025</c:v>
                </c:pt>
                <c:pt idx="20">
                  <c:v>8359.9963590000025</c:v>
                </c:pt>
                <c:pt idx="21">
                  <c:v>8359.9963590000025</c:v>
                </c:pt>
                <c:pt idx="22">
                  <c:v>8359.9963590000025</c:v>
                </c:pt>
                <c:pt idx="23">
                  <c:v>8359.9963590000025</c:v>
                </c:pt>
                <c:pt idx="24">
                  <c:v>8359.9963590000025</c:v>
                </c:pt>
                <c:pt idx="25">
                  <c:v>8359.9963590000025</c:v>
                </c:pt>
                <c:pt idx="26">
                  <c:v>8359.9963590000025</c:v>
                </c:pt>
                <c:pt idx="27">
                  <c:v>8359.9963590000025</c:v>
                </c:pt>
                <c:pt idx="28">
                  <c:v>8359.9963590000025</c:v>
                </c:pt>
                <c:pt idx="29">
                  <c:v>8359.9963590000025</c:v>
                </c:pt>
                <c:pt idx="30">
                  <c:v>8359.9963590000025</c:v>
                </c:pt>
                <c:pt idx="31">
                  <c:v>8359.9963590000025</c:v>
                </c:pt>
                <c:pt idx="32">
                  <c:v>8359.9963590000025</c:v>
                </c:pt>
                <c:pt idx="33">
                  <c:v>8359.9963590000025</c:v>
                </c:pt>
                <c:pt idx="34">
                  <c:v>8359.9963590000025</c:v>
                </c:pt>
                <c:pt idx="35">
                  <c:v>8359.9963590000025</c:v>
                </c:pt>
                <c:pt idx="36">
                  <c:v>8359.9963590000025</c:v>
                </c:pt>
                <c:pt idx="37">
                  <c:v>8359.9963590000025</c:v>
                </c:pt>
                <c:pt idx="38">
                  <c:v>8359.9963590000025</c:v>
                </c:pt>
                <c:pt idx="39">
                  <c:v>8359.9963590000025</c:v>
                </c:pt>
                <c:pt idx="40">
                  <c:v>8359.9963590000025</c:v>
                </c:pt>
                <c:pt idx="41">
                  <c:v>8359.9963590000025</c:v>
                </c:pt>
                <c:pt idx="42">
                  <c:v>8359.9963590000025</c:v>
                </c:pt>
                <c:pt idx="43">
                  <c:v>8359.9963590000025</c:v>
                </c:pt>
                <c:pt idx="44">
                  <c:v>8359.9963590000025</c:v>
                </c:pt>
                <c:pt idx="45">
                  <c:v>8359.9963590000025</c:v>
                </c:pt>
                <c:pt idx="46">
                  <c:v>8359.9963590000025</c:v>
                </c:pt>
                <c:pt idx="47">
                  <c:v>2507.9989077000005</c:v>
                </c:pt>
              </c:numCache>
            </c:numRef>
          </c:val>
          <c:extLst>
            <c:ext xmlns:c16="http://schemas.microsoft.com/office/drawing/2014/chart" uri="{C3380CC4-5D6E-409C-BE32-E72D297353CC}">
              <c16:uniqueId val="{00000000-9D80-4537-9BBE-AE3BAE18227C}"/>
            </c:ext>
          </c:extLst>
        </c:ser>
        <c:ser>
          <c:idx val="1"/>
          <c:order val="2"/>
          <c:tx>
            <c:strRef>
              <c:f>'business model (in Real terms)'!$A$158</c:f>
              <c:strCache>
                <c:ptCount val="1"/>
                <c:pt idx="0">
                  <c:v>working capital - increase/(decrease)</c:v>
                </c:pt>
              </c:strCache>
            </c:strRef>
          </c:tx>
          <c:spPr>
            <a:solidFill>
              <a:srgbClr val="FFCC99"/>
            </a:solidFill>
          </c:spPr>
          <c:invertIfNegative val="0"/>
          <c:val>
            <c:numRef>
              <c:f>'business model (in Real terms)'!$D$158:$AY$158</c:f>
              <c:numCache>
                <c:formatCode>#,##0_);[Red]\(#,##0\)</c:formatCode>
                <c:ptCount val="48"/>
                <c:pt idx="0">
                  <c:v>0</c:v>
                </c:pt>
                <c:pt idx="1">
                  <c:v>0</c:v>
                </c:pt>
                <c:pt idx="2">
                  <c:v>0</c:v>
                </c:pt>
                <c:pt idx="3">
                  <c:v>0</c:v>
                </c:pt>
                <c:pt idx="4">
                  <c:v>0</c:v>
                </c:pt>
                <c:pt idx="5">
                  <c:v>18000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-18000</c:v>
                </c:pt>
              </c:numCache>
            </c:numRef>
          </c:val>
          <c:extLst>
            <c:ext xmlns:c16="http://schemas.microsoft.com/office/drawing/2014/chart" uri="{C3380CC4-5D6E-409C-BE32-E72D297353CC}">
              <c16:uniqueId val="{00000000-EC91-469F-9CA3-C75AD2923E7B}"/>
            </c:ext>
          </c:extLst>
        </c:ser>
        <c:dLbls>
          <c:showLegendKey val="0"/>
          <c:showVal val="0"/>
          <c:showCatName val="0"/>
          <c:showSerName val="0"/>
          <c:showPercent val="0"/>
          <c:showBubbleSize val="0"/>
        </c:dLbls>
        <c:gapWidth val="0"/>
        <c:overlap val="100"/>
        <c:axId val="277113040"/>
        <c:axId val="277111472"/>
      </c:barChart>
      <c:dateAx>
        <c:axId val="277113040"/>
        <c:scaling>
          <c:orientation val="minMax"/>
        </c:scaling>
        <c:delete val="0"/>
        <c:axPos val="b"/>
        <c:numFmt formatCode="mmm\ yyyy" sourceLinked="1"/>
        <c:majorTickMark val="out"/>
        <c:minorTickMark val="none"/>
        <c:tickLblPos val="nextTo"/>
        <c:txPr>
          <a:bodyPr/>
          <a:lstStyle/>
          <a:p>
            <a:pPr>
              <a:defRPr sz="1200" b="0"/>
            </a:pPr>
            <a:endParaRPr lang="en-US"/>
          </a:p>
        </c:txPr>
        <c:crossAx val="277111472"/>
        <c:crosses val="autoZero"/>
        <c:auto val="1"/>
        <c:lblOffset val="100"/>
        <c:baseTimeUnit val="months"/>
      </c:dateAx>
      <c:valAx>
        <c:axId val="277111472"/>
        <c:scaling>
          <c:orientation val="minMax"/>
        </c:scaling>
        <c:delete val="0"/>
        <c:axPos val="l"/>
        <c:majorGridlines/>
        <c:title>
          <c:tx>
            <c:rich>
              <a:bodyPr rot="-5400000" vert="horz"/>
              <a:lstStyle/>
              <a:p>
                <a:pPr>
                  <a:defRPr sz="2400" b="1"/>
                </a:pPr>
                <a:r>
                  <a:rPr lang="en-US" sz="2400" b="1"/>
                  <a:t>$ </a:t>
                </a:r>
              </a:p>
            </c:rich>
          </c:tx>
          <c:layout>
            <c:manualLayout>
              <c:xMode val="edge"/>
              <c:yMode val="edge"/>
              <c:x val="1.1611316423566003E-2"/>
              <c:y val="0.54303678463636773"/>
            </c:manualLayout>
          </c:layout>
          <c:overlay val="0"/>
        </c:title>
        <c:numFmt formatCode="#,##0" sourceLinked="1"/>
        <c:majorTickMark val="out"/>
        <c:minorTickMark val="none"/>
        <c:tickLblPos val="nextTo"/>
        <c:txPr>
          <a:bodyPr/>
          <a:lstStyle/>
          <a:p>
            <a:pPr algn="ctr">
              <a:defRPr lang="en-AU" sz="1600" b="1" i="0" u="none" strike="noStrike" kern="1200" baseline="0">
                <a:solidFill>
                  <a:schemeClr val="tx1"/>
                </a:solidFill>
                <a:latin typeface="+mn-lt"/>
                <a:ea typeface="+mn-ea"/>
                <a:cs typeface="+mn-cs"/>
              </a:defRPr>
            </a:pPr>
            <a:endParaRPr lang="en-US"/>
          </a:p>
        </c:txPr>
        <c:crossAx val="277113040"/>
        <c:crosses val="autoZero"/>
        <c:crossBetween val="between"/>
      </c:valAx>
    </c:plotArea>
    <c:legend>
      <c:legendPos val="r"/>
      <c:layout>
        <c:manualLayout>
          <c:xMode val="edge"/>
          <c:yMode val="edge"/>
          <c:x val="0.75346720770119002"/>
          <c:y val="0.21578014055008646"/>
          <c:w val="0.23981587045222441"/>
          <c:h val="0.4988478070823143"/>
        </c:manualLayout>
      </c:layout>
      <c:overlay val="0"/>
      <c:txPr>
        <a:bodyPr/>
        <a:lstStyle/>
        <a:p>
          <a:pPr>
            <a:defRPr sz="1400" b="1"/>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Capital Expenditure</a:t>
            </a:r>
          </a:p>
        </c:rich>
      </c:tx>
      <c:layout>
        <c:manualLayout>
          <c:xMode val="edge"/>
          <c:yMode val="edge"/>
          <c:x val="6.8538077910403894E-2"/>
          <c:y val="7.592026203336303E-5"/>
        </c:manualLayout>
      </c:layout>
      <c:overlay val="1"/>
    </c:title>
    <c:autoTitleDeleted val="0"/>
    <c:plotArea>
      <c:layout>
        <c:manualLayout>
          <c:layoutTarget val="inner"/>
          <c:xMode val="edge"/>
          <c:yMode val="edge"/>
          <c:x val="8.7595614793960816E-2"/>
          <c:y val="0.17417662668199532"/>
          <c:w val="0.66456311598115447"/>
          <c:h val="0.62100970113542442"/>
        </c:manualLayout>
      </c:layout>
      <c:barChart>
        <c:barDir val="col"/>
        <c:grouping val="stacked"/>
        <c:varyColors val="0"/>
        <c:ser>
          <c:idx val="2"/>
          <c:order val="0"/>
          <c:tx>
            <c:strRef>
              <c:f>'business model (in Real terms)'!$A$122</c:f>
              <c:strCache>
                <c:ptCount val="1"/>
                <c:pt idx="0">
                  <c:v>Cashstream 2: Capital Costs</c:v>
                </c:pt>
              </c:strCache>
            </c:strRef>
          </c:tx>
          <c:spPr>
            <a:solidFill>
              <a:srgbClr val="3399FF"/>
            </a:solidFill>
            <a:ln>
              <a:solidFill>
                <a:srgbClr val="00B0F0"/>
              </a:solidFill>
            </a:ln>
          </c:spPr>
          <c:invertIfNegative val="0"/>
          <c:dPt>
            <c:idx val="0"/>
            <c:invertIfNegative val="0"/>
            <c:bubble3D val="0"/>
            <c:spPr>
              <a:solidFill>
                <a:srgbClr val="3399FF"/>
              </a:solidFill>
              <a:ln>
                <a:solidFill>
                  <a:srgbClr val="3399FF"/>
                </a:solidFill>
              </a:ln>
            </c:spPr>
            <c:extLst>
              <c:ext xmlns:c16="http://schemas.microsoft.com/office/drawing/2014/chart" uri="{C3380CC4-5D6E-409C-BE32-E72D297353CC}">
                <c16:uniqueId val="{00000002-0EA9-4C5E-A942-334905F5A46B}"/>
              </c:ext>
            </c:extLst>
          </c:dPt>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terms)'!$D$122:$AY$122</c:f>
              <c:numCache>
                <c:formatCode>#,##0</c:formatCode>
                <c:ptCount val="48"/>
                <c:pt idx="0">
                  <c:v>0</c:v>
                </c:pt>
                <c:pt idx="1">
                  <c:v>5000</c:v>
                </c:pt>
                <c:pt idx="2">
                  <c:v>9000</c:v>
                </c:pt>
                <c:pt idx="3">
                  <c:v>13000</c:v>
                </c:pt>
                <c:pt idx="4">
                  <c:v>6000</c:v>
                </c:pt>
                <c:pt idx="5">
                  <c:v>9000</c:v>
                </c:pt>
                <c:pt idx="6">
                  <c:v>0</c:v>
                </c:pt>
                <c:pt idx="7">
                  <c:v>1000</c:v>
                </c:pt>
                <c:pt idx="8">
                  <c:v>1000</c:v>
                </c:pt>
                <c:pt idx="9">
                  <c:v>1000</c:v>
                </c:pt>
                <c:pt idx="10">
                  <c:v>1000</c:v>
                </c:pt>
                <c:pt idx="11">
                  <c:v>1000</c:v>
                </c:pt>
                <c:pt idx="12">
                  <c:v>1000</c:v>
                </c:pt>
                <c:pt idx="13">
                  <c:v>1000</c:v>
                </c:pt>
                <c:pt idx="14">
                  <c:v>1000</c:v>
                </c:pt>
                <c:pt idx="15">
                  <c:v>1000</c:v>
                </c:pt>
                <c:pt idx="16">
                  <c:v>1000</c:v>
                </c:pt>
                <c:pt idx="17">
                  <c:v>1000</c:v>
                </c:pt>
                <c:pt idx="18">
                  <c:v>1000</c:v>
                </c:pt>
                <c:pt idx="19">
                  <c:v>1000</c:v>
                </c:pt>
                <c:pt idx="20">
                  <c:v>1000</c:v>
                </c:pt>
                <c:pt idx="21">
                  <c:v>1000</c:v>
                </c:pt>
                <c:pt idx="22">
                  <c:v>1000</c:v>
                </c:pt>
                <c:pt idx="23">
                  <c:v>1000</c:v>
                </c:pt>
                <c:pt idx="24">
                  <c:v>1000</c:v>
                </c:pt>
                <c:pt idx="25">
                  <c:v>1000</c:v>
                </c:pt>
                <c:pt idx="26">
                  <c:v>1000</c:v>
                </c:pt>
                <c:pt idx="27">
                  <c:v>1000</c:v>
                </c:pt>
                <c:pt idx="28">
                  <c:v>1000</c:v>
                </c:pt>
                <c:pt idx="29">
                  <c:v>1000</c:v>
                </c:pt>
                <c:pt idx="30">
                  <c:v>1000</c:v>
                </c:pt>
                <c:pt idx="31">
                  <c:v>1000</c:v>
                </c:pt>
                <c:pt idx="32">
                  <c:v>1000</c:v>
                </c:pt>
                <c:pt idx="33">
                  <c:v>1000</c:v>
                </c:pt>
                <c:pt idx="34">
                  <c:v>1000</c:v>
                </c:pt>
                <c:pt idx="35">
                  <c:v>1000</c:v>
                </c:pt>
                <c:pt idx="36">
                  <c:v>1000</c:v>
                </c:pt>
                <c:pt idx="37">
                  <c:v>1000</c:v>
                </c:pt>
                <c:pt idx="38">
                  <c:v>1000</c:v>
                </c:pt>
                <c:pt idx="39">
                  <c:v>1000</c:v>
                </c:pt>
                <c:pt idx="40">
                  <c:v>1000</c:v>
                </c:pt>
                <c:pt idx="41">
                  <c:v>1000</c:v>
                </c:pt>
                <c:pt idx="42">
                  <c:v>1000</c:v>
                </c:pt>
                <c:pt idx="43">
                  <c:v>1000</c:v>
                </c:pt>
                <c:pt idx="44">
                  <c:v>1000</c:v>
                </c:pt>
                <c:pt idx="45">
                  <c:v>1000</c:v>
                </c:pt>
                <c:pt idx="46">
                  <c:v>0</c:v>
                </c:pt>
                <c:pt idx="47">
                  <c:v>0</c:v>
                </c:pt>
              </c:numCache>
            </c:numRef>
          </c:val>
          <c:extLst>
            <c:ext xmlns:c16="http://schemas.microsoft.com/office/drawing/2014/chart" uri="{C3380CC4-5D6E-409C-BE32-E72D297353CC}">
              <c16:uniqueId val="{00000001-0EA9-4C5E-A942-334905F5A46B}"/>
            </c:ext>
          </c:extLst>
        </c:ser>
        <c:dLbls>
          <c:showLegendKey val="0"/>
          <c:showVal val="0"/>
          <c:showCatName val="0"/>
          <c:showSerName val="0"/>
          <c:showPercent val="0"/>
          <c:showBubbleSize val="0"/>
        </c:dLbls>
        <c:gapWidth val="0"/>
        <c:overlap val="100"/>
        <c:axId val="277108336"/>
        <c:axId val="277109512"/>
      </c:barChart>
      <c:dateAx>
        <c:axId val="277108336"/>
        <c:scaling>
          <c:orientation val="minMax"/>
        </c:scaling>
        <c:delete val="0"/>
        <c:axPos val="b"/>
        <c:numFmt formatCode="mmm\ yyyy" sourceLinked="1"/>
        <c:majorTickMark val="out"/>
        <c:minorTickMark val="none"/>
        <c:tickLblPos val="nextTo"/>
        <c:txPr>
          <a:bodyPr/>
          <a:lstStyle/>
          <a:p>
            <a:pPr>
              <a:defRPr sz="1100" b="0"/>
            </a:pPr>
            <a:endParaRPr lang="en-US"/>
          </a:p>
        </c:txPr>
        <c:crossAx val="277109512"/>
        <c:crosses val="autoZero"/>
        <c:auto val="1"/>
        <c:lblOffset val="100"/>
        <c:baseTimeUnit val="months"/>
      </c:dateAx>
      <c:valAx>
        <c:axId val="277109512"/>
        <c:scaling>
          <c:orientation val="minMax"/>
        </c:scaling>
        <c:delete val="0"/>
        <c:axPos val="l"/>
        <c:majorGridlines/>
        <c:title>
          <c:tx>
            <c:rich>
              <a:bodyPr rot="-5400000" vert="horz"/>
              <a:lstStyle/>
              <a:p>
                <a:pPr>
                  <a:defRPr sz="2400" b="1"/>
                </a:pPr>
                <a:r>
                  <a:rPr lang="en-US" sz="2400" b="1"/>
                  <a:t>$</a:t>
                </a:r>
              </a:p>
            </c:rich>
          </c:tx>
          <c:layout>
            <c:manualLayout>
              <c:xMode val="edge"/>
              <c:yMode val="edge"/>
              <c:x val="1.8152300117260312E-2"/>
              <c:y val="0.76957875100323203"/>
            </c:manualLayout>
          </c:layout>
          <c:overlay val="0"/>
        </c:title>
        <c:numFmt formatCode="#,##0" sourceLinked="1"/>
        <c:majorTickMark val="out"/>
        <c:minorTickMark val="none"/>
        <c:tickLblPos val="nextTo"/>
        <c:txPr>
          <a:bodyPr/>
          <a:lstStyle/>
          <a:p>
            <a:pPr>
              <a:defRPr sz="1600" b="1"/>
            </a:pPr>
            <a:endParaRPr lang="en-US"/>
          </a:p>
        </c:txPr>
        <c:crossAx val="27710833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Taxes</a:t>
            </a:r>
          </a:p>
        </c:rich>
      </c:tx>
      <c:layout>
        <c:manualLayout>
          <c:xMode val="edge"/>
          <c:yMode val="edge"/>
          <c:x val="0.16183907451408733"/>
          <c:y val="9.3944855014754955E-2"/>
        </c:manualLayout>
      </c:layout>
      <c:overlay val="1"/>
    </c:title>
    <c:autoTitleDeleted val="0"/>
    <c:plotArea>
      <c:layout>
        <c:manualLayout>
          <c:layoutTarget val="inner"/>
          <c:xMode val="edge"/>
          <c:yMode val="edge"/>
          <c:x val="0.1102598674487263"/>
          <c:y val="5.7231964686955239E-2"/>
          <c:w val="0.64251804763292941"/>
          <c:h val="0.70428386525827069"/>
        </c:manualLayout>
      </c:layout>
      <c:barChart>
        <c:barDir val="col"/>
        <c:grouping val="stacked"/>
        <c:varyColors val="0"/>
        <c:ser>
          <c:idx val="1"/>
          <c:order val="0"/>
          <c:tx>
            <c:strRef>
              <c:f>'business model (in Real terms)'!$A$199</c:f>
              <c:strCache>
                <c:ptCount val="1"/>
                <c:pt idx="0">
                  <c:v>Income Tax - paid</c:v>
                </c:pt>
              </c:strCache>
            </c:strRef>
          </c:tx>
          <c:spPr>
            <a:solidFill>
              <a:srgbClr val="FF99CC"/>
            </a:solidFill>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terms)'!$D$199:$AY$199</c:f>
              <c:numCache>
                <c:formatCode>#,##0_);[Red]\(#,##0\)</c:formatCode>
                <c:ptCount val="48"/>
                <c:pt idx="0">
                  <c:v>0</c:v>
                </c:pt>
                <c:pt idx="1">
                  <c:v>0</c:v>
                </c:pt>
                <c:pt idx="2">
                  <c:v>0</c:v>
                </c:pt>
                <c:pt idx="3">
                  <c:v>0</c:v>
                </c:pt>
                <c:pt idx="4">
                  <c:v>0</c:v>
                </c:pt>
                <c:pt idx="5">
                  <c:v>0</c:v>
                </c:pt>
                <c:pt idx="6">
                  <c:v>0</c:v>
                </c:pt>
                <c:pt idx="7">
                  <c:v>0</c:v>
                </c:pt>
                <c:pt idx="8">
                  <c:v>0</c:v>
                </c:pt>
                <c:pt idx="9">
                  <c:v>0</c:v>
                </c:pt>
                <c:pt idx="10">
                  <c:v>0</c:v>
                </c:pt>
                <c:pt idx="11">
                  <c:v>160.67372511964459</c:v>
                </c:pt>
                <c:pt idx="12">
                  <c:v>513.72439079296191</c:v>
                </c:pt>
                <c:pt idx="13">
                  <c:v>610.6333313853429</c:v>
                </c:pt>
                <c:pt idx="14">
                  <c:v>850.33083251225844</c:v>
                </c:pt>
                <c:pt idx="15">
                  <c:v>849.55542590215464</c:v>
                </c:pt>
                <c:pt idx="16">
                  <c:v>848.79617359642816</c:v>
                </c:pt>
                <c:pt idx="17">
                  <c:v>848.05273904707065</c:v>
                </c:pt>
                <c:pt idx="18">
                  <c:v>847.32479271749162</c:v>
                </c:pt>
                <c:pt idx="19">
                  <c:v>846.61201193644547</c:v>
                </c:pt>
                <c:pt idx="20">
                  <c:v>845.91408075500431</c:v>
                </c:pt>
                <c:pt idx="21">
                  <c:v>845.23068980650987</c:v>
                </c:pt>
                <c:pt idx="22">
                  <c:v>844.56153616944221</c:v>
                </c:pt>
                <c:pt idx="23">
                  <c:v>843.9063232331473</c:v>
                </c:pt>
                <c:pt idx="24">
                  <c:v>843.26476056635829</c:v>
                </c:pt>
                <c:pt idx="25">
                  <c:v>842.63656378846053</c:v>
                </c:pt>
                <c:pt idx="26">
                  <c:v>842.02145444343569</c:v>
                </c:pt>
                <c:pt idx="27">
                  <c:v>841.41915987643233</c:v>
                </c:pt>
                <c:pt idx="28">
                  <c:v>840.82941311290824</c:v>
                </c:pt>
                <c:pt idx="29">
                  <c:v>840.25195274029102</c:v>
                </c:pt>
                <c:pt idx="30">
                  <c:v>839.68652279210301</c:v>
                </c:pt>
                <c:pt idx="31">
                  <c:v>839.13287263450229</c:v>
                </c:pt>
                <c:pt idx="32">
                  <c:v>838.59075685518519</c:v>
                </c:pt>
                <c:pt idx="33">
                  <c:v>838.05993515460341</c:v>
                </c:pt>
                <c:pt idx="34">
                  <c:v>837.54017223945084</c:v>
                </c:pt>
                <c:pt idx="35">
                  <c:v>837.03123771836363</c:v>
                </c:pt>
                <c:pt idx="36">
                  <c:v>836.53290599979937</c:v>
                </c:pt>
                <c:pt idx="37">
                  <c:v>836.04495619203817</c:v>
                </c:pt>
                <c:pt idx="38">
                  <c:v>835.56717200527237</c:v>
                </c:pt>
                <c:pt idx="39">
                  <c:v>835.09934165573077</c:v>
                </c:pt>
                <c:pt idx="40">
                  <c:v>834.6412577718047</c:v>
                </c:pt>
                <c:pt idx="41">
                  <c:v>834.19271730212677</c:v>
                </c:pt>
                <c:pt idx="42">
                  <c:v>833.75352142556721</c:v>
                </c:pt>
                <c:pt idx="43">
                  <c:v>833.32347546310302</c:v>
                </c:pt>
                <c:pt idx="44">
                  <c:v>832.90238879152321</c:v>
                </c:pt>
                <c:pt idx="45">
                  <c:v>832.4900747589345</c:v>
                </c:pt>
                <c:pt idx="46">
                  <c:v>814.56741120808556</c:v>
                </c:pt>
                <c:pt idx="47">
                  <c:v>2149.2713451100008</c:v>
                </c:pt>
              </c:numCache>
            </c:numRef>
          </c:val>
          <c:extLst>
            <c:ext xmlns:c16="http://schemas.microsoft.com/office/drawing/2014/chart" uri="{C3380CC4-5D6E-409C-BE32-E72D297353CC}">
              <c16:uniqueId val="{00000000-0EEF-4C52-AB5C-115EDC575C3C}"/>
            </c:ext>
          </c:extLst>
        </c:ser>
        <c:ser>
          <c:idx val="0"/>
          <c:order val="1"/>
          <c:tx>
            <c:strRef>
              <c:f>'business model (in Real terms)'!$A$172</c:f>
              <c:strCache>
                <c:ptCount val="1"/>
                <c:pt idx="0">
                  <c:v>VAT - net paid/(net refunded)</c:v>
                </c:pt>
              </c:strCache>
            </c:strRef>
          </c:tx>
          <c:spPr>
            <a:solidFill>
              <a:srgbClr val="FF3399"/>
            </a:solidFill>
          </c:spPr>
          <c:invertIfNegative val="0"/>
          <c:val>
            <c:numRef>
              <c:f>'business model (in Real terms)'!$D$172:$AY$172</c:f>
              <c:numCache>
                <c:formatCode>#,##0_);[Red]\(#,##0\)</c:formatCode>
                <c:ptCount val="48"/>
                <c:pt idx="0">
                  <c:v>-110.00000000000004</c:v>
                </c:pt>
                <c:pt idx="1">
                  <c:v>-564.54545454545473</c:v>
                </c:pt>
                <c:pt idx="2">
                  <c:v>-928.18181818181847</c:v>
                </c:pt>
                <c:pt idx="3">
                  <c:v>-1291.8181818181822</c:v>
                </c:pt>
                <c:pt idx="4">
                  <c:v>-655.45454545454572</c:v>
                </c:pt>
                <c:pt idx="5">
                  <c:v>-928.18181818181847</c:v>
                </c:pt>
                <c:pt idx="6">
                  <c:v>110.63636363636368</c:v>
                </c:pt>
                <c:pt idx="7">
                  <c:v>41.790909090909054</c:v>
                </c:pt>
                <c:pt idx="8">
                  <c:v>66.060909090909149</c:v>
                </c:pt>
                <c:pt idx="9">
                  <c:v>92.757909090909152</c:v>
                </c:pt>
                <c:pt idx="10">
                  <c:v>122.12460909090908</c:v>
                </c:pt>
                <c:pt idx="11">
                  <c:v>154.42797909090905</c:v>
                </c:pt>
                <c:pt idx="12">
                  <c:v>189.96168609090932</c:v>
                </c:pt>
                <c:pt idx="13">
                  <c:v>229.04876379090922</c:v>
                </c:pt>
                <c:pt idx="14">
                  <c:v>325.24452609090918</c:v>
                </c:pt>
                <c:pt idx="15">
                  <c:v>325.24452609090918</c:v>
                </c:pt>
                <c:pt idx="16">
                  <c:v>325.24452609090918</c:v>
                </c:pt>
                <c:pt idx="17">
                  <c:v>325.24452609090918</c:v>
                </c:pt>
                <c:pt idx="18">
                  <c:v>325.24452609090918</c:v>
                </c:pt>
                <c:pt idx="19">
                  <c:v>325.24452609090918</c:v>
                </c:pt>
                <c:pt idx="20">
                  <c:v>325.24452609090918</c:v>
                </c:pt>
                <c:pt idx="21">
                  <c:v>325.24452609090918</c:v>
                </c:pt>
                <c:pt idx="22">
                  <c:v>325.24452609090918</c:v>
                </c:pt>
                <c:pt idx="23">
                  <c:v>325.24452609090918</c:v>
                </c:pt>
                <c:pt idx="24">
                  <c:v>325.24452609090918</c:v>
                </c:pt>
                <c:pt idx="25">
                  <c:v>325.24452609090918</c:v>
                </c:pt>
                <c:pt idx="26">
                  <c:v>325.24452609090918</c:v>
                </c:pt>
                <c:pt idx="27">
                  <c:v>325.24452609090918</c:v>
                </c:pt>
                <c:pt idx="28">
                  <c:v>325.24452609090918</c:v>
                </c:pt>
                <c:pt idx="29">
                  <c:v>325.24452609090918</c:v>
                </c:pt>
                <c:pt idx="30">
                  <c:v>325.24452609090918</c:v>
                </c:pt>
                <c:pt idx="31">
                  <c:v>325.24452609090918</c:v>
                </c:pt>
                <c:pt idx="32">
                  <c:v>325.24452609090918</c:v>
                </c:pt>
                <c:pt idx="33">
                  <c:v>325.24452609090918</c:v>
                </c:pt>
                <c:pt idx="34">
                  <c:v>325.24452609090918</c:v>
                </c:pt>
                <c:pt idx="35">
                  <c:v>325.24452609090918</c:v>
                </c:pt>
                <c:pt idx="36">
                  <c:v>325.24452609090918</c:v>
                </c:pt>
                <c:pt idx="37">
                  <c:v>325.24452609090918</c:v>
                </c:pt>
                <c:pt idx="38">
                  <c:v>325.24452609090918</c:v>
                </c:pt>
                <c:pt idx="39">
                  <c:v>325.24452609090918</c:v>
                </c:pt>
                <c:pt idx="40">
                  <c:v>325.24452609090918</c:v>
                </c:pt>
                <c:pt idx="41">
                  <c:v>325.24452609090918</c:v>
                </c:pt>
                <c:pt idx="42">
                  <c:v>325.24452609090918</c:v>
                </c:pt>
                <c:pt idx="43">
                  <c:v>325.24452609090918</c:v>
                </c:pt>
                <c:pt idx="44">
                  <c:v>325.24452609090918</c:v>
                </c:pt>
                <c:pt idx="45">
                  <c:v>325.24452609090918</c:v>
                </c:pt>
                <c:pt idx="46">
                  <c:v>416.15361700000017</c:v>
                </c:pt>
                <c:pt idx="47">
                  <c:v>948.15338530000054</c:v>
                </c:pt>
              </c:numCache>
            </c:numRef>
          </c:val>
          <c:extLst>
            <c:ext xmlns:c16="http://schemas.microsoft.com/office/drawing/2014/chart" uri="{C3380CC4-5D6E-409C-BE32-E72D297353CC}">
              <c16:uniqueId val="{00000000-63A6-4EAB-91E5-C66C252BE4EE}"/>
            </c:ext>
          </c:extLst>
        </c:ser>
        <c:dLbls>
          <c:showLegendKey val="0"/>
          <c:showVal val="0"/>
          <c:showCatName val="0"/>
          <c:showSerName val="0"/>
          <c:showPercent val="0"/>
          <c:showBubbleSize val="0"/>
        </c:dLbls>
        <c:gapWidth val="0"/>
        <c:overlap val="100"/>
        <c:axId val="277112648"/>
        <c:axId val="277109120"/>
      </c:barChart>
      <c:dateAx>
        <c:axId val="277112648"/>
        <c:scaling>
          <c:orientation val="minMax"/>
        </c:scaling>
        <c:delete val="0"/>
        <c:axPos val="b"/>
        <c:numFmt formatCode="mmm\ yyyy" sourceLinked="1"/>
        <c:majorTickMark val="out"/>
        <c:minorTickMark val="none"/>
        <c:tickLblPos val="nextTo"/>
        <c:txPr>
          <a:bodyPr/>
          <a:lstStyle/>
          <a:p>
            <a:pPr algn="ctr">
              <a:defRPr lang="en-AU" sz="1200" b="0" i="0" u="none" strike="noStrike" kern="1200" baseline="0">
                <a:solidFill>
                  <a:schemeClr val="tx1"/>
                </a:solidFill>
                <a:latin typeface="+mn-lt"/>
                <a:ea typeface="+mn-ea"/>
                <a:cs typeface="+mn-cs"/>
              </a:defRPr>
            </a:pPr>
            <a:endParaRPr lang="en-US"/>
          </a:p>
        </c:txPr>
        <c:crossAx val="277109120"/>
        <c:crosses val="autoZero"/>
        <c:auto val="1"/>
        <c:lblOffset val="100"/>
        <c:baseTimeUnit val="months"/>
      </c:dateAx>
      <c:valAx>
        <c:axId val="277109120"/>
        <c:scaling>
          <c:orientation val="minMax"/>
        </c:scaling>
        <c:delete val="0"/>
        <c:axPos val="l"/>
        <c:majorGridlines/>
        <c:title>
          <c:tx>
            <c:rich>
              <a:bodyPr rot="-5400000" vert="horz"/>
              <a:lstStyle/>
              <a:p>
                <a:pPr>
                  <a:defRPr sz="2400" b="1"/>
                </a:pPr>
                <a:r>
                  <a:rPr lang="en-US" sz="2400" b="1"/>
                  <a:t>$ </a:t>
                </a:r>
              </a:p>
            </c:rich>
          </c:tx>
          <c:layout>
            <c:manualLayout>
              <c:xMode val="edge"/>
              <c:yMode val="edge"/>
              <c:x val="2.3562716406595657E-2"/>
              <c:y val="0.52903845045027864"/>
            </c:manualLayout>
          </c:layout>
          <c:overlay val="0"/>
        </c:title>
        <c:numFmt formatCode="#,##0_);[Red]\(#,##0\)" sourceLinked="1"/>
        <c:majorTickMark val="out"/>
        <c:minorTickMark val="none"/>
        <c:tickLblPos val="nextTo"/>
        <c:txPr>
          <a:bodyPr/>
          <a:lstStyle/>
          <a:p>
            <a:pPr>
              <a:defRPr sz="1600" b="1"/>
            </a:pPr>
            <a:endParaRPr lang="en-US"/>
          </a:p>
        </c:txPr>
        <c:crossAx val="277112648"/>
        <c:crosses val="autoZero"/>
        <c:crossBetween val="between"/>
      </c:valAx>
    </c:plotArea>
    <c:legend>
      <c:legendPos val="r"/>
      <c:layout>
        <c:manualLayout>
          <c:xMode val="edge"/>
          <c:yMode val="edge"/>
          <c:x val="0.75803567253597004"/>
          <c:y val="0.43402436023622049"/>
          <c:w val="0.2419643274640299"/>
          <c:h val="0.25106850600649167"/>
        </c:manualLayout>
      </c:layout>
      <c:overlay val="0"/>
      <c:txPr>
        <a:bodyPr/>
        <a:lstStyle/>
        <a:p>
          <a:pPr>
            <a:defRPr sz="1400" b="1"/>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Revenue</a:t>
            </a:r>
          </a:p>
        </c:rich>
      </c:tx>
      <c:layout>
        <c:manualLayout>
          <c:xMode val="edge"/>
          <c:yMode val="edge"/>
          <c:x val="6.9174110437841385E-2"/>
          <c:y val="1.1961950971268032E-2"/>
        </c:manualLayout>
      </c:layout>
      <c:overlay val="1"/>
    </c:title>
    <c:autoTitleDeleted val="0"/>
    <c:plotArea>
      <c:layout>
        <c:manualLayout>
          <c:layoutTarget val="inner"/>
          <c:xMode val="edge"/>
          <c:yMode val="edge"/>
          <c:x val="9.5506087005081813E-2"/>
          <c:y val="0.21723862723089324"/>
          <c:w val="0.64262154377480207"/>
          <c:h val="0.54109752516335607"/>
        </c:manualLayout>
      </c:layout>
      <c:barChart>
        <c:barDir val="col"/>
        <c:grouping val="stacked"/>
        <c:varyColors val="0"/>
        <c:ser>
          <c:idx val="0"/>
          <c:order val="0"/>
          <c:tx>
            <c:strRef>
              <c:f>'business model (in Real terms)'!$A$107</c:f>
              <c:strCache>
                <c:ptCount val="1"/>
                <c:pt idx="0">
                  <c:v>Revenue - organic fertilisers</c:v>
                </c:pt>
              </c:strCache>
            </c:strRef>
          </c:tx>
          <c:spPr>
            <a:solidFill>
              <a:schemeClr val="accent3">
                <a:lumMod val="60000"/>
                <a:lumOff val="40000"/>
              </a:schemeClr>
            </a:solidFill>
            <a:ln w="76200">
              <a:noFill/>
            </a:ln>
          </c:spPr>
          <c:invertIfNegative val="0"/>
          <c:cat>
            <c:numRef>
              <c:f>'business model (in Real terms)'!$D$97:$AY$97</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'business model (in Real terms)'!$D$107:$AY$107</c:f>
              <c:numCache>
                <c:formatCode>#,##0</c:formatCode>
                <c:ptCount val="48"/>
                <c:pt idx="0">
                  <c:v>0</c:v>
                </c:pt>
                <c:pt idx="1">
                  <c:v>0</c:v>
                </c:pt>
                <c:pt idx="2">
                  <c:v>0</c:v>
                </c:pt>
                <c:pt idx="3">
                  <c:v>0</c:v>
                </c:pt>
                <c:pt idx="4">
                  <c:v>0</c:v>
                </c:pt>
                <c:pt idx="5">
                  <c:v>0</c:v>
                </c:pt>
                <c:pt idx="6">
                  <c:v>6600</c:v>
                </c:pt>
                <c:pt idx="7">
                  <c:v>7260</c:v>
                </c:pt>
                <c:pt idx="8">
                  <c:v>7986</c:v>
                </c:pt>
                <c:pt idx="9">
                  <c:v>8784.6</c:v>
                </c:pt>
                <c:pt idx="10">
                  <c:v>9663.06</c:v>
                </c:pt>
                <c:pt idx="11">
                  <c:v>10629.366</c:v>
                </c:pt>
                <c:pt idx="12">
                  <c:v>11692.302600000003</c:v>
                </c:pt>
                <c:pt idx="13">
                  <c:v>12861.532860000003</c:v>
                </c:pt>
                <c:pt idx="14">
                  <c:v>14147.686146000004</c:v>
                </c:pt>
                <c:pt idx="15">
                  <c:v>14147.686146000004</c:v>
                </c:pt>
                <c:pt idx="16">
                  <c:v>14147.686146000004</c:v>
                </c:pt>
                <c:pt idx="17">
                  <c:v>14147.686146000004</c:v>
                </c:pt>
                <c:pt idx="18">
                  <c:v>14147.686146000004</c:v>
                </c:pt>
                <c:pt idx="19">
                  <c:v>14147.686146000004</c:v>
                </c:pt>
                <c:pt idx="20">
                  <c:v>14147.686146000004</c:v>
                </c:pt>
                <c:pt idx="21">
                  <c:v>14147.686146000004</c:v>
                </c:pt>
                <c:pt idx="22">
                  <c:v>14147.686146000004</c:v>
                </c:pt>
                <c:pt idx="23">
                  <c:v>14147.686146000004</c:v>
                </c:pt>
                <c:pt idx="24">
                  <c:v>14147.686146000004</c:v>
                </c:pt>
                <c:pt idx="25">
                  <c:v>14147.686146000004</c:v>
                </c:pt>
                <c:pt idx="26">
                  <c:v>14147.686146000004</c:v>
                </c:pt>
                <c:pt idx="27">
                  <c:v>14147.686146000004</c:v>
                </c:pt>
                <c:pt idx="28">
                  <c:v>14147.686146000004</c:v>
                </c:pt>
                <c:pt idx="29">
                  <c:v>14147.686146000004</c:v>
                </c:pt>
                <c:pt idx="30">
                  <c:v>14147.686146000004</c:v>
                </c:pt>
                <c:pt idx="31">
                  <c:v>14147.686146000004</c:v>
                </c:pt>
                <c:pt idx="32">
                  <c:v>14147.686146000004</c:v>
                </c:pt>
                <c:pt idx="33">
                  <c:v>14147.686146000004</c:v>
                </c:pt>
                <c:pt idx="34">
                  <c:v>14147.686146000004</c:v>
                </c:pt>
                <c:pt idx="35">
                  <c:v>14147.686146000004</c:v>
                </c:pt>
                <c:pt idx="36">
                  <c:v>14147.686146000004</c:v>
                </c:pt>
                <c:pt idx="37">
                  <c:v>14147.686146000004</c:v>
                </c:pt>
                <c:pt idx="38">
                  <c:v>14147.686146000004</c:v>
                </c:pt>
                <c:pt idx="39">
                  <c:v>14147.686146000004</c:v>
                </c:pt>
                <c:pt idx="40">
                  <c:v>14147.686146000004</c:v>
                </c:pt>
                <c:pt idx="41">
                  <c:v>14147.686146000004</c:v>
                </c:pt>
                <c:pt idx="42">
                  <c:v>14147.686146000004</c:v>
                </c:pt>
                <c:pt idx="43">
                  <c:v>14147.686146000004</c:v>
                </c:pt>
                <c:pt idx="44">
                  <c:v>14147.686146000004</c:v>
                </c:pt>
                <c:pt idx="45">
                  <c:v>14147.686146000004</c:v>
                </c:pt>
                <c:pt idx="46">
                  <c:v>14147.686146000004</c:v>
                </c:pt>
                <c:pt idx="47">
                  <c:v>14147.686146000004</c:v>
                </c:pt>
              </c:numCache>
            </c:numRef>
          </c:val>
          <c:extLst>
            <c:ext xmlns:c16="http://schemas.microsoft.com/office/drawing/2014/chart" uri="{C3380CC4-5D6E-409C-BE32-E72D297353CC}">
              <c16:uniqueId val="{00000000-9F1D-49FC-948A-66491ECD5D00}"/>
            </c:ext>
          </c:extLst>
        </c:ser>
        <c:dLbls>
          <c:showLegendKey val="0"/>
          <c:showVal val="0"/>
          <c:showCatName val="0"/>
          <c:showSerName val="0"/>
          <c:showPercent val="0"/>
          <c:showBubbleSize val="0"/>
        </c:dLbls>
        <c:gapWidth val="10"/>
        <c:overlap val="100"/>
        <c:axId val="404287008"/>
        <c:axId val="404287400"/>
      </c:barChart>
      <c:dateAx>
        <c:axId val="404287008"/>
        <c:scaling>
          <c:orientation val="minMax"/>
        </c:scaling>
        <c:delete val="0"/>
        <c:axPos val="b"/>
        <c:numFmt formatCode="mmm\ yyyy" sourceLinked="1"/>
        <c:majorTickMark val="out"/>
        <c:minorTickMark val="none"/>
        <c:tickLblPos val="nextTo"/>
        <c:txPr>
          <a:bodyPr/>
          <a:lstStyle/>
          <a:p>
            <a:pPr>
              <a:defRPr sz="1100" b="0"/>
            </a:pPr>
            <a:endParaRPr lang="en-US"/>
          </a:p>
        </c:txPr>
        <c:crossAx val="404287400"/>
        <c:crosses val="autoZero"/>
        <c:auto val="1"/>
        <c:lblOffset val="100"/>
        <c:baseTimeUnit val="months"/>
      </c:dateAx>
      <c:valAx>
        <c:axId val="404287400"/>
        <c:scaling>
          <c:orientation val="minMax"/>
        </c:scaling>
        <c:delete val="0"/>
        <c:axPos val="l"/>
        <c:majorGridlines/>
        <c:title>
          <c:tx>
            <c:rich>
              <a:bodyPr rot="-5400000" vert="horz"/>
              <a:lstStyle/>
              <a:p>
                <a:pPr>
                  <a:defRPr sz="2400" b="1">
                    <a:solidFill>
                      <a:sysClr val="windowText" lastClr="000000"/>
                    </a:solidFill>
                  </a:defRPr>
                </a:pPr>
                <a:r>
                  <a:rPr lang="en-US" sz="2400" b="1">
                    <a:solidFill>
                      <a:sysClr val="windowText" lastClr="000000"/>
                    </a:solidFill>
                  </a:rPr>
                  <a:t>$</a:t>
                </a:r>
              </a:p>
            </c:rich>
          </c:tx>
          <c:layout>
            <c:manualLayout>
              <c:xMode val="edge"/>
              <c:yMode val="edge"/>
              <c:x val="7.8194928958214248E-3"/>
              <c:y val="0.63417713902970907"/>
            </c:manualLayout>
          </c:layout>
          <c:overlay val="0"/>
        </c:title>
        <c:numFmt formatCode="#,##0" sourceLinked="1"/>
        <c:majorTickMark val="out"/>
        <c:minorTickMark val="none"/>
        <c:tickLblPos val="nextTo"/>
        <c:txPr>
          <a:bodyPr/>
          <a:lstStyle/>
          <a:p>
            <a:pPr>
              <a:defRPr sz="1600" b="1">
                <a:solidFill>
                  <a:schemeClr val="tx1"/>
                </a:solidFill>
              </a:defRPr>
            </a:pPr>
            <a:endParaRPr lang="en-US"/>
          </a:p>
        </c:txPr>
        <c:crossAx val="404287008"/>
        <c:crosses val="autoZero"/>
        <c:crossBetween val="between"/>
      </c:valAx>
    </c:plotArea>
    <c:legend>
      <c:legendPos val="r"/>
      <c:layout>
        <c:manualLayout>
          <c:xMode val="edge"/>
          <c:yMode val="edge"/>
          <c:x val="0.75582980172245295"/>
          <c:y val="0.20307837274488846"/>
          <c:w val="0.2326016203256055"/>
          <c:h val="0.38440882140728427"/>
        </c:manualLayout>
      </c:layout>
      <c:overlay val="0"/>
      <c:txPr>
        <a:bodyPr/>
        <a:lstStyle/>
        <a:p>
          <a:pPr>
            <a:defRPr sz="1400" b="1"/>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i="1"/>
            </a:pPr>
            <a:r>
              <a:rPr lang="en-US" sz="2400" i="1"/>
              <a:t>Debt &amp; Equity</a:t>
            </a:r>
          </a:p>
        </c:rich>
      </c:tx>
      <c:layout>
        <c:manualLayout>
          <c:xMode val="edge"/>
          <c:yMode val="edge"/>
          <c:x val="0.33852147791870901"/>
          <c:y val="4.0251572327044002E-2"/>
        </c:manualLayout>
      </c:layout>
      <c:overlay val="1"/>
    </c:title>
    <c:autoTitleDeleted val="0"/>
    <c:plotArea>
      <c:layout>
        <c:manualLayout>
          <c:layoutTarget val="inner"/>
          <c:xMode val="edge"/>
          <c:yMode val="edge"/>
          <c:x val="9.2948054495765306E-2"/>
          <c:y val="0.138723785316611"/>
          <c:w val="0.50692281088562396"/>
          <c:h val="0.78019541066844"/>
        </c:manualLayout>
      </c:layout>
      <c:barChart>
        <c:barDir val="col"/>
        <c:grouping val="stacked"/>
        <c:varyColors val="0"/>
        <c:ser>
          <c:idx val="0"/>
          <c:order val="0"/>
          <c:tx>
            <c:strRef>
              <c:f>'Project funding (in Nominal)'!$A$47</c:f>
              <c:strCache>
                <c:ptCount val="1"/>
                <c:pt idx="0">
                  <c:v>4 a. Donations</c:v>
                </c:pt>
              </c:strCache>
            </c:strRef>
          </c:tx>
          <c:spPr>
            <a:solidFill>
              <a:srgbClr val="FFFF00"/>
            </a:solidFill>
            <a:ln>
              <a:solidFill>
                <a:srgbClr val="FF0000"/>
              </a:solidFill>
              <a:prstDash val="sysDash"/>
            </a:ln>
          </c:spPr>
          <c:invertIfNegative val="0"/>
          <c:cat>
            <c:numRef>
              <c:f>'Project funding (in Nominal)'!$D$24:$AY$24</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'Project funding (in Nominal)'!$D$47:$AY$47</c:f>
              <c:numCache>
                <c:formatCode>#,##0</c:formatCode>
                <c:ptCount val="48"/>
                <c:pt idx="0">
                  <c:v>0</c:v>
                </c:pt>
                <c:pt idx="1">
                  <c:v>0</c:v>
                </c:pt>
                <c:pt idx="2">
                  <c:v>0</c:v>
                </c:pt>
                <c:pt idx="3">
                  <c:v>0</c:v>
                </c:pt>
                <c:pt idx="4">
                  <c:v>0</c:v>
                </c:pt>
                <c:pt idx="5">
                  <c:v>0</c:v>
                </c:pt>
                <c:pt idx="6">
                  <c:v>15000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1-3350-4FD9-ABAA-CBE7E7D4DA04}"/>
            </c:ext>
          </c:extLst>
        </c:ser>
        <c:ser>
          <c:idx val="5"/>
          <c:order val="3"/>
          <c:tx>
            <c:strRef>
              <c:f>'Project funding (in Nominal)'!$A$39</c:f>
              <c:strCache>
                <c:ptCount val="1"/>
                <c:pt idx="0">
                  <c:v>Net Cash Flow before project funding - Nominal</c:v>
                </c:pt>
              </c:strCache>
            </c:strRef>
          </c:tx>
          <c:spPr>
            <a:solidFill>
              <a:schemeClr val="bg1">
                <a:lumMod val="65000"/>
              </a:schemeClr>
            </a:solidFill>
            <a:ln w="60325">
              <a:noFill/>
            </a:ln>
          </c:spPr>
          <c:invertIfNegative val="0"/>
          <c:cat>
            <c:numRef>
              <c:f>'Project funding (in Nominal)'!$D$24:$AY$24</c:f>
              <c:numCache>
                <c:formatCode>mmm\ yyyy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'Project funding (in Nominal)'!$D$39:$AY$39</c:f>
              <c:numCache>
                <c:formatCode>#,##0_);[Red]\(#,##0\)</c:formatCode>
                <c:ptCount val="48"/>
                <c:pt idx="0">
                  <c:v>-1100.9162850401781</c:v>
                </c:pt>
                <c:pt idx="1">
                  <c:v>-5659.5740608674969</c:v>
                </c:pt>
                <c:pt idx="2">
                  <c:v>-9320.540780471214</c:v>
                </c:pt>
                <c:pt idx="3">
                  <c:v>-12993.695001434553</c:v>
                </c:pt>
                <c:pt idx="4">
                  <c:v>-6603.848125400682</c:v>
                </c:pt>
                <c:pt idx="5">
                  <c:v>-27532.841153076275</c:v>
                </c:pt>
                <c:pt idx="6">
                  <c:v>1118.4043139875369</c:v>
                </c:pt>
                <c:pt idx="7">
                  <c:v>423.16133709556641</c:v>
                </c:pt>
                <c:pt idx="8">
                  <c:v>670.0264228307168</c:v>
                </c:pt>
                <c:pt idx="9">
                  <c:v>942.37022505696552</c:v>
                </c:pt>
                <c:pt idx="10">
                  <c:v>1242.7878924401987</c:v>
                </c:pt>
                <c:pt idx="11">
                  <c:v>1410.3584533334422</c:v>
                </c:pt>
                <c:pt idx="12">
                  <c:v>1415.0435476662087</c:v>
                </c:pt>
                <c:pt idx="13">
                  <c:v>1718.0472707202982</c:v>
                </c:pt>
                <c:pt idx="14">
                  <c:v>2460.823158993026</c:v>
                </c:pt>
                <c:pt idx="15">
                  <c:v>2465.7202127423716</c:v>
                </c:pt>
                <c:pt idx="16">
                  <c:v>2470.6101500519521</c:v>
                </c:pt>
                <c:pt idx="17">
                  <c:v>2475.4932524236183</c:v>
                </c:pt>
                <c:pt idx="18">
                  <c:v>2480.3697961954222</c:v>
                </c:pt>
                <c:pt idx="19">
                  <c:v>2485.2400526411689</c:v>
                </c:pt>
                <c:pt idx="20">
                  <c:v>2490.1042880680634</c:v>
                </c:pt>
                <c:pt idx="21">
                  <c:v>2494.9627639124783</c:v>
                </c:pt>
                <c:pt idx="22">
                  <c:v>2499.8157368338861</c:v>
                </c:pt>
                <c:pt idx="23">
                  <c:v>2504.6634588069878</c:v>
                </c:pt>
                <c:pt idx="24">
                  <c:v>2509.5061772120703</c:v>
                </c:pt>
                <c:pt idx="25">
                  <c:v>2514.3441349236327</c:v>
                </c:pt>
                <c:pt idx="26">
                  <c:v>2519.1775703973126</c:v>
                </c:pt>
                <c:pt idx="27">
                  <c:v>2524.0067177551409</c:v>
                </c:pt>
                <c:pt idx="28">
                  <c:v>2528.8318068691619</c:v>
                </c:pt>
                <c:pt idx="29">
                  <c:v>2533.6530634434471</c:v>
                </c:pt>
                <c:pt idx="30">
                  <c:v>2538.4707090945381</c:v>
                </c:pt>
                <c:pt idx="31">
                  <c:v>2543.2849614303395</c:v>
                </c:pt>
                <c:pt idx="32">
                  <c:v>2548.0960341275054</c:v>
                </c:pt>
                <c:pt idx="33">
                  <c:v>2552.904137007336</c:v>
                </c:pt>
                <c:pt idx="34">
                  <c:v>2557.7094761102135</c:v>
                </c:pt>
                <c:pt idx="35">
                  <c:v>2562.5122537686243</c:v>
                </c:pt>
                <c:pt idx="36">
                  <c:v>2567.3126686787605</c:v>
                </c:pt>
                <c:pt idx="37">
                  <c:v>2572.1109159707562</c:v>
                </c:pt>
                <c:pt idx="38">
                  <c:v>2576.9071872775844</c:v>
                </c:pt>
                <c:pt idx="39">
                  <c:v>2581.7016708026167</c:v>
                </c:pt>
                <c:pt idx="40">
                  <c:v>2586.4945513858947</c:v>
                </c:pt>
                <c:pt idx="41">
                  <c:v>2591.2860105691266</c:v>
                </c:pt>
                <c:pt idx="42">
                  <c:v>2596.0762266594438</c:v>
                </c:pt>
                <c:pt idx="43">
                  <c:v>2600.8653747919152</c:v>
                </c:pt>
                <c:pt idx="44">
                  <c:v>2605.6536269908938</c:v>
                </c:pt>
                <c:pt idx="45">
                  <c:v>2610.4411522301471</c:v>
                </c:pt>
                <c:pt idx="46">
                  <c:v>3616.4416631507024</c:v>
                </c:pt>
                <c:pt idx="47">
                  <c:v>27417.446626476878</c:v>
                </c:pt>
              </c:numCache>
            </c:numRef>
          </c:val>
          <c:extLst>
            <c:ext xmlns:c16="http://schemas.microsoft.com/office/drawing/2014/chart" uri="{C3380CC4-5D6E-409C-BE32-E72D297353CC}">
              <c16:uniqueId val="{00000000-3350-4FD9-ABAA-CBE7E7D4DA04}"/>
            </c:ext>
          </c:extLst>
        </c:ser>
        <c:dLbls>
          <c:showLegendKey val="0"/>
          <c:showVal val="0"/>
          <c:showCatName val="0"/>
          <c:showSerName val="0"/>
          <c:showPercent val="0"/>
          <c:showBubbleSize val="0"/>
        </c:dLbls>
        <c:gapWidth val="30"/>
        <c:overlap val="100"/>
        <c:axId val="-2143009392"/>
        <c:axId val="-2143017696"/>
      </c:barChart>
      <c:lineChart>
        <c:grouping val="standard"/>
        <c:varyColors val="0"/>
        <c:ser>
          <c:idx val="2"/>
          <c:order val="1"/>
          <c:tx>
            <c:strRef>
              <c:f>'Project funding (in Nominal)'!$A$76</c:f>
              <c:strCache>
                <c:ptCount val="1"/>
                <c:pt idx="0">
                  <c:v>closing balance of equity funds invested</c:v>
                </c:pt>
              </c:strCache>
            </c:strRef>
          </c:tx>
          <c:spPr>
            <a:ln w="82550">
              <a:solidFill>
                <a:srgbClr val="FFC000"/>
              </a:solidFill>
            </a:ln>
          </c:spPr>
          <c:marker>
            <c:symbol val="none"/>
          </c:marker>
          <c:cat>
            <c:numRef>
              <c:f>'Project funding (in Nominal)'!$D$24:$O$24</c:f>
              <c:numCache>
                <c:formatCode>mmm\ yyyy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'Project funding (in Nominal)'!$D$76:$AY$76</c:f>
              <c:numCache>
                <c:formatCode>#,##0_);[Red]\(#,##0\)</c:formatCode>
                <c:ptCount val="48"/>
                <c:pt idx="0">
                  <c:v>552.29300299515603</c:v>
                </c:pt>
                <c:pt idx="1">
                  <c:v>3397.0172382888841</c:v>
                </c:pt>
                <c:pt idx="2">
                  <c:v>8106.6243148881476</c:v>
                </c:pt>
                <c:pt idx="3">
                  <c:v>14705.533129573043</c:v>
                </c:pt>
                <c:pt idx="4">
                  <c:v>18163.837236454787</c:v>
                </c:pt>
                <c:pt idx="5">
                  <c:v>33754.894096982171</c:v>
                </c:pt>
                <c:pt idx="6">
                  <c:v>33754.894096982171</c:v>
                </c:pt>
                <c:pt idx="7">
                  <c:v>33754.894096982171</c:v>
                </c:pt>
                <c:pt idx="8">
                  <c:v>33754.894096982171</c:v>
                </c:pt>
                <c:pt idx="9">
                  <c:v>33754.894096982171</c:v>
                </c:pt>
                <c:pt idx="10">
                  <c:v>33754.894096982171</c:v>
                </c:pt>
                <c:pt idx="11">
                  <c:v>33754.894096982171</c:v>
                </c:pt>
                <c:pt idx="12">
                  <c:v>33754.894096982171</c:v>
                </c:pt>
                <c:pt idx="13">
                  <c:v>33754.894096982171</c:v>
                </c:pt>
                <c:pt idx="14">
                  <c:v>33754.894096982171</c:v>
                </c:pt>
                <c:pt idx="15">
                  <c:v>33754.894096982171</c:v>
                </c:pt>
                <c:pt idx="16">
                  <c:v>33754.894096982171</c:v>
                </c:pt>
                <c:pt idx="17">
                  <c:v>33754.894096982171</c:v>
                </c:pt>
                <c:pt idx="18">
                  <c:v>33754.894096982171</c:v>
                </c:pt>
                <c:pt idx="19">
                  <c:v>33754.894096982171</c:v>
                </c:pt>
                <c:pt idx="20">
                  <c:v>33754.894096982171</c:v>
                </c:pt>
                <c:pt idx="21">
                  <c:v>33754.894096982171</c:v>
                </c:pt>
                <c:pt idx="22">
                  <c:v>33754.894096982171</c:v>
                </c:pt>
                <c:pt idx="23">
                  <c:v>33754.894096982171</c:v>
                </c:pt>
                <c:pt idx="24">
                  <c:v>33754.894096982171</c:v>
                </c:pt>
                <c:pt idx="25">
                  <c:v>33754.894096982171</c:v>
                </c:pt>
                <c:pt idx="26">
                  <c:v>33754.894096982171</c:v>
                </c:pt>
                <c:pt idx="27">
                  <c:v>33754.894096982171</c:v>
                </c:pt>
                <c:pt idx="28">
                  <c:v>33754.894096982171</c:v>
                </c:pt>
                <c:pt idx="29">
                  <c:v>33754.894096982171</c:v>
                </c:pt>
                <c:pt idx="30">
                  <c:v>33754.894096982171</c:v>
                </c:pt>
                <c:pt idx="31">
                  <c:v>33754.894096982171</c:v>
                </c:pt>
                <c:pt idx="32">
                  <c:v>33754.894096982171</c:v>
                </c:pt>
                <c:pt idx="33">
                  <c:v>33754.894096982171</c:v>
                </c:pt>
                <c:pt idx="34">
                  <c:v>33754.894096982171</c:v>
                </c:pt>
                <c:pt idx="35">
                  <c:v>33754.894096982171</c:v>
                </c:pt>
                <c:pt idx="36">
                  <c:v>33754.894096982171</c:v>
                </c:pt>
                <c:pt idx="37">
                  <c:v>33754.894096982171</c:v>
                </c:pt>
                <c:pt idx="38">
                  <c:v>33754.894096982171</c:v>
                </c:pt>
                <c:pt idx="39">
                  <c:v>33754.894096982171</c:v>
                </c:pt>
                <c:pt idx="40">
                  <c:v>33754.894096982171</c:v>
                </c:pt>
                <c:pt idx="41">
                  <c:v>33754.894096982171</c:v>
                </c:pt>
                <c:pt idx="42">
                  <c:v>33754.894096982171</c:v>
                </c:pt>
                <c:pt idx="43">
                  <c:v>33754.894096982171</c:v>
                </c:pt>
                <c:pt idx="44">
                  <c:v>33754.894096982171</c:v>
                </c:pt>
                <c:pt idx="45">
                  <c:v>33754.894096982171</c:v>
                </c:pt>
                <c:pt idx="46">
                  <c:v>33754.894096982171</c:v>
                </c:pt>
                <c:pt idx="47">
                  <c:v>33754.894096982171</c:v>
                </c:pt>
              </c:numCache>
            </c:numRef>
          </c:val>
          <c:smooth val="0"/>
          <c:extLst>
            <c:ext xmlns:c16="http://schemas.microsoft.com/office/drawing/2014/chart" uri="{C3380CC4-5D6E-409C-BE32-E72D297353CC}">
              <c16:uniqueId val="{00000002-3350-4FD9-ABAA-CBE7E7D4DA04}"/>
            </c:ext>
          </c:extLst>
        </c:ser>
        <c:ser>
          <c:idx val="1"/>
          <c:order val="2"/>
          <c:tx>
            <c:strRef>
              <c:f>'Project funding (in Nominal)'!$A$60</c:f>
              <c:strCache>
                <c:ptCount val="1"/>
                <c:pt idx="0">
                  <c:v>project loan - closing balance</c:v>
                </c:pt>
              </c:strCache>
            </c:strRef>
          </c:tx>
          <c:spPr>
            <a:ln w="60325">
              <a:solidFill>
                <a:srgbClr val="0033CC"/>
              </a:solidFill>
              <a:prstDash val="sysDash"/>
            </a:ln>
          </c:spPr>
          <c:marker>
            <c:symbol val="none"/>
          </c:marker>
          <c:cat>
            <c:numRef>
              <c:f>'Project funding (in Nominal)'!$D$24:$O$24</c:f>
              <c:numCache>
                <c:formatCode>mmm\ yyyy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'Project funding (in Nominal)'!$D$60:$AY$60</c:f>
              <c:numCache>
                <c:formatCode>#,##0_);[Red]\(#,##0\)</c:formatCode>
                <c:ptCount val="48"/>
                <c:pt idx="0">
                  <c:v>550.45814252008904</c:v>
                </c:pt>
                <c:pt idx="1">
                  <c:v>3380.2451729538375</c:v>
                </c:pt>
                <c:pt idx="2">
                  <c:v>8040.5155631894449</c:v>
                </c:pt>
                <c:pt idx="3">
                  <c:v>14537.363063906721</c:v>
                </c:pt>
                <c:pt idx="4">
                  <c:v>17839.287126607062</c:v>
                </c:pt>
                <c:pt idx="5">
                  <c:v>30000</c:v>
                </c:pt>
                <c:pt idx="6">
                  <c:v>13881.595686012462</c:v>
                </c:pt>
                <c:pt idx="7">
                  <c:v>13458.434348916897</c:v>
                </c:pt>
                <c:pt idx="8">
                  <c:v>12788.40792608618</c:v>
                </c:pt>
                <c:pt idx="9">
                  <c:v>11846.037701029214</c:v>
                </c:pt>
                <c:pt idx="10">
                  <c:v>10603.249808589015</c:v>
                </c:pt>
                <c:pt idx="11">
                  <c:v>9192.8913552555732</c:v>
                </c:pt>
                <c:pt idx="12">
                  <c:v>7777.8478075893645</c:v>
                </c:pt>
                <c:pt idx="13">
                  <c:v>6059.8005368690665</c:v>
                </c:pt>
                <c:pt idx="14">
                  <c:v>3598.9773778760405</c:v>
                </c:pt>
                <c:pt idx="15">
                  <c:v>1133.2571651336689</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3-3350-4FD9-ABAA-CBE7E7D4DA04}"/>
            </c:ext>
          </c:extLst>
        </c:ser>
        <c:dLbls>
          <c:showLegendKey val="0"/>
          <c:showVal val="0"/>
          <c:showCatName val="0"/>
          <c:showSerName val="0"/>
          <c:showPercent val="0"/>
          <c:showBubbleSize val="0"/>
        </c:dLbls>
        <c:marker val="1"/>
        <c:smooth val="0"/>
        <c:axId val="-2143009392"/>
        <c:axId val="-2143017696"/>
      </c:lineChart>
      <c:dateAx>
        <c:axId val="-2143009392"/>
        <c:scaling>
          <c:orientation val="minMax"/>
        </c:scaling>
        <c:delete val="0"/>
        <c:axPos val="b"/>
        <c:numFmt formatCode="mmm\ yyyy" sourceLinked="1"/>
        <c:majorTickMark val="out"/>
        <c:minorTickMark val="none"/>
        <c:tickLblPos val="nextTo"/>
        <c:txPr>
          <a:bodyPr/>
          <a:lstStyle/>
          <a:p>
            <a:pPr>
              <a:defRPr sz="1400"/>
            </a:pPr>
            <a:endParaRPr lang="en-US"/>
          </a:p>
        </c:txPr>
        <c:crossAx val="-2143017696"/>
        <c:crosses val="autoZero"/>
        <c:auto val="1"/>
        <c:lblOffset val="100"/>
        <c:baseTimeUnit val="months"/>
      </c:dateAx>
      <c:valAx>
        <c:axId val="-2143017696"/>
        <c:scaling>
          <c:orientation val="minMax"/>
        </c:scaling>
        <c:delete val="0"/>
        <c:axPos val="l"/>
        <c:majorGridlines/>
        <c:title>
          <c:tx>
            <c:rich>
              <a:bodyPr rot="-5400000" vert="horz"/>
              <a:lstStyle/>
              <a:p>
                <a:pPr>
                  <a:defRPr sz="1800" b="1"/>
                </a:pPr>
                <a:r>
                  <a:rPr lang="en-US" sz="1800" b="1"/>
                  <a:t>$ Nominal</a:t>
                </a:r>
              </a:p>
            </c:rich>
          </c:tx>
          <c:layout>
            <c:manualLayout>
              <c:xMode val="edge"/>
              <c:yMode val="edge"/>
              <c:x val="1.0323822279946999E-2"/>
              <c:y val="0.29426808438146801"/>
            </c:manualLayout>
          </c:layout>
          <c:overlay val="0"/>
        </c:title>
        <c:numFmt formatCode="#,##0" sourceLinked="0"/>
        <c:majorTickMark val="out"/>
        <c:minorTickMark val="none"/>
        <c:tickLblPos val="nextTo"/>
        <c:txPr>
          <a:bodyPr/>
          <a:lstStyle/>
          <a:p>
            <a:pPr>
              <a:defRPr sz="1400" b="1" baseline="0"/>
            </a:pPr>
            <a:endParaRPr lang="en-US"/>
          </a:p>
        </c:txPr>
        <c:crossAx val="-2143009392"/>
        <c:crosses val="autoZero"/>
        <c:crossBetween val="between"/>
      </c:valAx>
    </c:plotArea>
    <c:legend>
      <c:legendPos val="r"/>
      <c:layout>
        <c:manualLayout>
          <c:xMode val="edge"/>
          <c:yMode val="edge"/>
          <c:x val="0.61297342802204557"/>
          <c:y val="0.12389092114653"/>
          <c:w val="0.38702657197795454"/>
          <c:h val="0.65641868241855517"/>
        </c:manualLayout>
      </c:layout>
      <c:overlay val="0"/>
      <c:spPr>
        <a:solidFill>
          <a:schemeClr val="bg1"/>
        </a:solidFill>
      </c:spPr>
      <c:txPr>
        <a:bodyPr/>
        <a:lstStyle/>
        <a:p>
          <a:pPr>
            <a:defRPr sz="1400" b="1" i="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342900</xdr:colOff>
      <xdr:row>20</xdr:row>
      <xdr:rowOff>219075</xdr:rowOff>
    </xdr:from>
    <xdr:to>
      <xdr:col>7</xdr:col>
      <xdr:colOff>781050</xdr:colOff>
      <xdr:row>32</xdr:row>
      <xdr:rowOff>182880</xdr:rowOff>
    </xdr:to>
    <xdr:graphicFrame macro="">
      <xdr:nvGraphicFramePr>
        <xdr:cNvPr id="8322371" name="Chart 1">
          <a:extLst>
            <a:ext uri="{FF2B5EF4-FFF2-40B4-BE49-F238E27FC236}">
              <a16:creationId xmlns:a16="http://schemas.microsoft.com/office/drawing/2014/main" id="{00000000-0008-0000-0100-000043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236220</xdr:colOff>
      <xdr:row>33</xdr:row>
      <xdr:rowOff>192405</xdr:rowOff>
    </xdr:from>
    <xdr:to>
      <xdr:col>7</xdr:col>
      <xdr:colOff>533400</xdr:colOff>
      <xdr:row>46</xdr:row>
      <xdr:rowOff>64770</xdr:rowOff>
    </xdr:to>
    <xdr:graphicFrame macro="">
      <xdr:nvGraphicFramePr>
        <xdr:cNvPr id="8322372" name="Chart 2">
          <a:extLst>
            <a:ext uri="{FF2B5EF4-FFF2-40B4-BE49-F238E27FC236}">
              <a16:creationId xmlns:a16="http://schemas.microsoft.com/office/drawing/2014/main" id="{00000000-0008-0000-0100-000044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419100</xdr:colOff>
      <xdr:row>7</xdr:row>
      <xdr:rowOff>137160</xdr:rowOff>
    </xdr:from>
    <xdr:to>
      <xdr:col>7</xdr:col>
      <xdr:colOff>735330</xdr:colOff>
      <xdr:row>19</xdr:row>
      <xdr:rowOff>171450</xdr:rowOff>
    </xdr:to>
    <xdr:graphicFrame macro="">
      <xdr:nvGraphicFramePr>
        <xdr:cNvPr id="8322374" name="Chart 3">
          <a:extLst>
            <a:ext uri="{FF2B5EF4-FFF2-40B4-BE49-F238E27FC236}">
              <a16:creationId xmlns:a16="http://schemas.microsoft.com/office/drawing/2014/main" id="{00000000-0008-0000-0100-000046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467543</xdr:colOff>
      <xdr:row>73</xdr:row>
      <xdr:rowOff>107224</xdr:rowOff>
    </xdr:from>
    <xdr:to>
      <xdr:col>7</xdr:col>
      <xdr:colOff>688522</xdr:colOff>
      <xdr:row>85</xdr:row>
      <xdr:rowOff>27214</xdr:rowOff>
    </xdr:to>
    <xdr:graphicFrame macro="">
      <xdr:nvGraphicFramePr>
        <xdr:cNvPr id="8322375" name="Chart 2">
          <a:extLst>
            <a:ext uri="{FF2B5EF4-FFF2-40B4-BE49-F238E27FC236}">
              <a16:creationId xmlns:a16="http://schemas.microsoft.com/office/drawing/2014/main" id="{00000000-0008-0000-0100-000047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308610</xdr:colOff>
      <xdr:row>60</xdr:row>
      <xdr:rowOff>110490</xdr:rowOff>
    </xdr:from>
    <xdr:to>
      <xdr:col>7</xdr:col>
      <xdr:colOff>533400</xdr:colOff>
      <xdr:row>72</xdr:row>
      <xdr:rowOff>133350</xdr:rowOff>
    </xdr:to>
    <xdr:graphicFrame macro="">
      <xdr:nvGraphicFramePr>
        <xdr:cNvPr id="8322376" name="Chart 2">
          <a:extLst>
            <a:ext uri="{FF2B5EF4-FFF2-40B4-BE49-F238E27FC236}">
              <a16:creationId xmlns:a16="http://schemas.microsoft.com/office/drawing/2014/main" id="{00000000-0008-0000-0100-000048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342900</xdr:colOff>
      <xdr:row>86</xdr:row>
      <xdr:rowOff>0</xdr:rowOff>
    </xdr:from>
    <xdr:to>
      <xdr:col>7</xdr:col>
      <xdr:colOff>723900</xdr:colOff>
      <xdr:row>94</xdr:row>
      <xdr:rowOff>129540</xdr:rowOff>
    </xdr:to>
    <xdr:graphicFrame macro="">
      <xdr:nvGraphicFramePr>
        <xdr:cNvPr id="8322377" name="Chart 2">
          <a:extLst>
            <a:ext uri="{FF2B5EF4-FFF2-40B4-BE49-F238E27FC236}">
              <a16:creationId xmlns:a16="http://schemas.microsoft.com/office/drawing/2014/main" id="{00000000-0008-0000-0100-000049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666750</xdr:colOff>
      <xdr:row>2</xdr:row>
      <xdr:rowOff>381001</xdr:rowOff>
    </xdr:from>
    <xdr:to>
      <xdr:col>8</xdr:col>
      <xdr:colOff>136071</xdr:colOff>
      <xdr:row>5</xdr:row>
      <xdr:rowOff>68037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069036" y="1170215"/>
          <a:ext cx="5592535" cy="898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chemeClr val="bg1">
                  <a:lumMod val="50000"/>
                </a:schemeClr>
              </a:solidFill>
            </a:rPr>
            <a:t>Look at the profile of all these graphs over the months.</a:t>
          </a:r>
        </a:p>
        <a:p>
          <a:pPr marL="0" marR="0" lvl="0" indent="0" algn="ctr" defTabSz="914400" eaLnBrk="1" fontAlgn="auto" latinLnBrk="0" hangingPunct="1">
            <a:lnSpc>
              <a:spcPct val="100000"/>
            </a:lnSpc>
            <a:spcBef>
              <a:spcPts val="0"/>
            </a:spcBef>
            <a:spcAft>
              <a:spcPts val="0"/>
            </a:spcAft>
            <a:buClrTx/>
            <a:buSzTx/>
            <a:buFontTx/>
            <a:buNone/>
            <a:tabLst/>
            <a:defRPr/>
          </a:pPr>
          <a:r>
            <a:rPr lang="en-AU" sz="1400" baseline="0">
              <a:solidFill>
                <a:schemeClr val="bg1">
                  <a:lumMod val="50000"/>
                </a:schemeClr>
              </a:solidFill>
            </a:rPr>
            <a:t>The need for working capital to start operations and sales is important!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prstClr val="white">
                  <a:lumMod val="50000"/>
                </a:prstClr>
              </a:solidFill>
              <a:effectLst/>
              <a:uLnTx/>
              <a:uFillTx/>
              <a:latin typeface="+mn-lt"/>
              <a:ea typeface="+mn-ea"/>
              <a:cs typeface="+mn-cs"/>
            </a:rPr>
            <a:t>Is this a healthy, sound business or are the margins (green) thin?</a:t>
          </a:r>
        </a:p>
        <a:p>
          <a:pPr algn="ctr"/>
          <a:endParaRPr lang="en-AU" sz="1400" baseline="0">
            <a:solidFill>
              <a:schemeClr val="bg1">
                <a:lumMod val="50000"/>
              </a:schemeClr>
            </a:solidFill>
          </a:endParaRPr>
        </a:p>
        <a:p>
          <a:pPr algn="ctr"/>
          <a:endParaRPr lang="en-AU" sz="1400" baseline="0">
            <a:solidFill>
              <a:schemeClr val="bg1">
                <a:lumMod val="50000"/>
              </a:schemeClr>
            </a:solidFill>
          </a:endParaRPr>
        </a:p>
        <a:p>
          <a:pPr algn="ctr"/>
          <a:endParaRPr lang="en-AU" sz="1400" baseline="0">
            <a:solidFill>
              <a:schemeClr val="bg1">
                <a:lumMod val="50000"/>
              </a:schemeClr>
            </a:solidFill>
          </a:endParaRPr>
        </a:p>
      </xdr:txBody>
    </xdr:sp>
    <xdr:clientData/>
  </xdr:twoCellAnchor>
  <xdr:twoCellAnchor>
    <xdr:from>
      <xdr:col>0</xdr:col>
      <xdr:colOff>2544536</xdr:colOff>
      <xdr:row>3</xdr:row>
      <xdr:rowOff>68036</xdr:rowOff>
    </xdr:from>
    <xdr:to>
      <xdr:col>3</xdr:col>
      <xdr:colOff>911678</xdr:colOff>
      <xdr:row>16</xdr:row>
      <xdr:rowOff>54429</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flipH="1">
          <a:off x="2544536" y="1578429"/>
          <a:ext cx="5769428" cy="2871107"/>
        </a:xfrm>
        <a:prstGeom prst="straightConnector1">
          <a:avLst/>
        </a:prstGeom>
        <a:ln w="25400" cap="flat" cmpd="sng" algn="ctr">
          <a:solidFill>
            <a:schemeClr val="bg1">
              <a:lumMod val="65000"/>
            </a:schemeClr>
          </a:solidFill>
          <a:prstDash val="dash"/>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285750</xdr:colOff>
      <xdr:row>47</xdr:row>
      <xdr:rowOff>102871</xdr:rowOff>
    </xdr:from>
    <xdr:to>
      <xdr:col>7</xdr:col>
      <xdr:colOff>514350</xdr:colOff>
      <xdr:row>59</xdr:row>
      <xdr:rowOff>1</xdr:rowOff>
    </xdr:to>
    <xdr:graphicFrame macro="">
      <xdr:nvGraphicFramePr>
        <xdr:cNvPr id="14" name="Chart 2">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979714</xdr:colOff>
      <xdr:row>4</xdr:row>
      <xdr:rowOff>122465</xdr:rowOff>
    </xdr:from>
    <xdr:to>
      <xdr:col>6</xdr:col>
      <xdr:colOff>816430</xdr:colOff>
      <xdr:row>27</xdr:row>
      <xdr:rowOff>81643</xdr:rowOff>
    </xdr:to>
    <xdr:cxnSp macro="">
      <xdr:nvCxnSpPr>
        <xdr:cNvPr id="15" name="Straight Arrow Connector 14">
          <a:extLst>
            <a:ext uri="{FF2B5EF4-FFF2-40B4-BE49-F238E27FC236}">
              <a16:creationId xmlns:a16="http://schemas.microsoft.com/office/drawing/2014/main" id="{C14EE9ED-24E1-44CA-8A1D-86FFD43A156E}"/>
            </a:ext>
          </a:extLst>
        </xdr:cNvPr>
        <xdr:cNvCxnSpPr/>
      </xdr:nvCxnSpPr>
      <xdr:spPr>
        <a:xfrm flipH="1">
          <a:off x="8382000" y="1877786"/>
          <a:ext cx="3510644" cy="4993821"/>
        </a:xfrm>
        <a:prstGeom prst="straightConnector1">
          <a:avLst/>
        </a:prstGeom>
        <a:ln w="25400" cap="flat" cmpd="sng" algn="ctr">
          <a:solidFill>
            <a:schemeClr val="bg1">
              <a:lumMod val="65000"/>
            </a:schemeClr>
          </a:solidFill>
          <a:prstDash val="dash"/>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137160</xdr:rowOff>
    </xdr:from>
    <xdr:to>
      <xdr:col>9</xdr:col>
      <xdr:colOff>174624</xdr:colOff>
      <xdr:row>21</xdr:row>
      <xdr:rowOff>111125</xdr:rowOff>
    </xdr:to>
    <xdr:graphicFrame macro="">
      <xdr:nvGraphicFramePr>
        <xdr:cNvPr id="2" name="Chart 1">
          <a:extLst>
            <a:ext uri="{FF2B5EF4-FFF2-40B4-BE49-F238E27FC236}">
              <a16:creationId xmlns:a16="http://schemas.microsoft.com/office/drawing/2014/main" id="{1BF0728A-A6A9-413B-B93D-80DC13D85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476251</xdr:colOff>
      <xdr:row>38</xdr:row>
      <xdr:rowOff>349253</xdr:rowOff>
    </xdr:from>
    <xdr:to>
      <xdr:col>5</xdr:col>
      <xdr:colOff>827769</xdr:colOff>
      <xdr:row>39</xdr:row>
      <xdr:rowOff>251734</xdr:rowOff>
    </xdr:to>
    <xdr:cxnSp macro="">
      <xdr:nvCxnSpPr>
        <xdr:cNvPr id="3" name="Straight Arrow Connector 2">
          <a:extLst>
            <a:ext uri="{FF2B5EF4-FFF2-40B4-BE49-F238E27FC236}">
              <a16:creationId xmlns:a16="http://schemas.microsoft.com/office/drawing/2014/main" id="{32CBF068-281E-410B-9D41-1778F238D6EC}"/>
            </a:ext>
          </a:extLst>
        </xdr:cNvPr>
        <xdr:cNvCxnSpPr>
          <a:stCxn id="5" idx="1"/>
        </xdr:cNvCxnSpPr>
      </xdr:nvCxnSpPr>
      <xdr:spPr>
        <a:xfrm flipH="1" flipV="1">
          <a:off x="8041822" y="10690682"/>
          <a:ext cx="1276804" cy="351516"/>
        </a:xfrm>
        <a:prstGeom prst="straightConnector1">
          <a:avLst/>
        </a:prstGeom>
        <a:ln w="28575">
          <a:solidFill>
            <a:srgbClr val="189C34"/>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523875</xdr:colOff>
      <xdr:row>51</xdr:row>
      <xdr:rowOff>0</xdr:rowOff>
    </xdr:from>
    <xdr:to>
      <xdr:col>2</xdr:col>
      <xdr:colOff>1285875</xdr:colOff>
      <xdr:row>51</xdr:row>
      <xdr:rowOff>142875</xdr:rowOff>
    </xdr:to>
    <xdr:cxnSp macro="">
      <xdr:nvCxnSpPr>
        <xdr:cNvPr id="4" name="Straight Arrow Connector 3">
          <a:extLst>
            <a:ext uri="{FF2B5EF4-FFF2-40B4-BE49-F238E27FC236}">
              <a16:creationId xmlns:a16="http://schemas.microsoft.com/office/drawing/2014/main" id="{43F0E95C-3F62-45EC-A999-B632E3EB5075}"/>
            </a:ext>
          </a:extLst>
        </xdr:cNvPr>
        <xdr:cNvCxnSpPr/>
      </xdr:nvCxnSpPr>
      <xdr:spPr>
        <a:xfrm>
          <a:off x="1704975" y="9334500"/>
          <a:ext cx="66675" cy="142875"/>
        </a:xfrm>
        <a:prstGeom prst="straightConnector1">
          <a:avLst/>
        </a:prstGeom>
        <a:ln w="9525">
          <a:solidFill>
            <a:srgbClr val="0070C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827769</xdr:colOff>
      <xdr:row>39</xdr:row>
      <xdr:rowOff>68038</xdr:rowOff>
    </xdr:from>
    <xdr:to>
      <xdr:col>8</xdr:col>
      <xdr:colOff>503465</xdr:colOff>
      <xdr:row>39</xdr:row>
      <xdr:rowOff>435430</xdr:rowOff>
    </xdr:to>
    <xdr:sp macro="" textlink="">
      <xdr:nvSpPr>
        <xdr:cNvPr id="5" name="TextBox 4">
          <a:extLst>
            <a:ext uri="{FF2B5EF4-FFF2-40B4-BE49-F238E27FC236}">
              <a16:creationId xmlns:a16="http://schemas.microsoft.com/office/drawing/2014/main" id="{7AA44B4C-9217-4001-96EB-923B389279D7}"/>
            </a:ext>
          </a:extLst>
        </xdr:cNvPr>
        <xdr:cNvSpPr txBox="1"/>
      </xdr:nvSpPr>
      <xdr:spPr>
        <a:xfrm>
          <a:off x="9318626" y="10858502"/>
          <a:ext cx="2451553" cy="367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0" i="1">
              <a:solidFill>
                <a:srgbClr val="00B050"/>
              </a:solidFill>
            </a:rPr>
            <a:t>Nominal dollars are in italics</a:t>
          </a:r>
        </a:p>
        <a:p>
          <a:endParaRPr lang="en-AU" sz="1400" b="1" i="1">
            <a:solidFill>
              <a:srgbClr val="00B05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1"/>
  <sheetViews>
    <sheetView tabSelected="1" zoomScale="70" zoomScaleNormal="70" workbookViewId="0">
      <selection activeCell="D2" sqref="D2"/>
    </sheetView>
  </sheetViews>
  <sheetFormatPr defaultRowHeight="15" x14ac:dyDescent="0.25"/>
  <cols>
    <col min="1" max="1" width="27.42578125" customWidth="1"/>
    <col min="2" max="2" width="14.42578125" customWidth="1"/>
    <col min="3" max="3" width="19.7109375" customWidth="1"/>
  </cols>
  <sheetData>
    <row r="1" spans="1:19" ht="26.25" x14ac:dyDescent="0.25">
      <c r="A1" s="240" t="s">
        <v>217</v>
      </c>
      <c r="B1" s="31"/>
      <c r="C1" s="31"/>
      <c r="D1" s="31"/>
      <c r="E1" s="31"/>
      <c r="F1" s="31"/>
      <c r="G1" s="31"/>
      <c r="H1" s="31"/>
      <c r="I1" s="31"/>
      <c r="J1" s="125"/>
      <c r="K1" s="125"/>
      <c r="L1" s="125"/>
      <c r="M1" s="125"/>
      <c r="N1" s="125"/>
      <c r="O1" s="125"/>
      <c r="P1" s="125"/>
      <c r="Q1" s="125"/>
      <c r="R1" s="125"/>
      <c r="S1" s="125"/>
    </row>
    <row r="2" spans="1:19" s="243" customFormat="1" ht="31.5" customHeight="1" x14ac:dyDescent="0.3">
      <c r="A2" s="241" t="s">
        <v>0</v>
      </c>
      <c r="B2" s="242"/>
      <c r="C2" s="242"/>
      <c r="D2" s="242"/>
      <c r="E2" s="242"/>
      <c r="F2" s="242"/>
      <c r="G2" s="242"/>
      <c r="H2" s="242"/>
      <c r="I2" s="242"/>
      <c r="J2" s="74"/>
      <c r="K2" s="74"/>
      <c r="L2" s="74"/>
      <c r="M2" s="74"/>
      <c r="N2" s="242"/>
      <c r="O2" s="242"/>
      <c r="P2" s="242"/>
      <c r="Q2" s="242"/>
      <c r="R2" s="242"/>
      <c r="S2" s="242"/>
    </row>
    <row r="3" spans="1:19" ht="15.75" x14ac:dyDescent="0.25">
      <c r="A3" s="56" t="s">
        <v>83</v>
      </c>
      <c r="B3" s="14"/>
      <c r="C3" s="14"/>
      <c r="D3" s="14"/>
      <c r="E3" s="14"/>
      <c r="F3" s="14"/>
      <c r="G3" s="14"/>
      <c r="H3" s="13"/>
      <c r="I3" s="13"/>
      <c r="J3" s="126"/>
      <c r="K3" s="126"/>
      <c r="L3" s="126"/>
      <c r="M3" s="126"/>
      <c r="N3" s="13"/>
      <c r="O3" s="13"/>
      <c r="P3" s="13"/>
      <c r="Q3" s="13"/>
      <c r="R3" s="13"/>
      <c r="S3" s="13"/>
    </row>
    <row r="4" spans="1:19" ht="30.75" customHeight="1" x14ac:dyDescent="0.35">
      <c r="A4" s="128" t="s">
        <v>1</v>
      </c>
      <c r="B4" s="30"/>
      <c r="C4" s="30"/>
      <c r="D4" s="30"/>
      <c r="E4" s="30"/>
      <c r="F4" s="30"/>
      <c r="G4" s="30"/>
      <c r="H4" s="30"/>
      <c r="I4" s="30"/>
      <c r="J4" s="127"/>
      <c r="K4" s="127"/>
      <c r="L4" s="127"/>
      <c r="M4" s="127"/>
    </row>
    <row r="5" spans="1:19" ht="18.75" x14ac:dyDescent="0.25">
      <c r="A5" s="238" t="s">
        <v>170</v>
      </c>
      <c r="B5" s="30"/>
      <c r="C5" s="30"/>
      <c r="D5" s="30"/>
      <c r="E5" s="30"/>
      <c r="F5" s="30"/>
      <c r="G5" s="30"/>
      <c r="H5" s="30"/>
      <c r="I5" s="30"/>
      <c r="J5" s="127"/>
      <c r="K5" s="127"/>
      <c r="L5" s="127"/>
      <c r="M5" s="127"/>
    </row>
    <row r="6" spans="1:19" ht="18.75" x14ac:dyDescent="0.25">
      <c r="A6" s="238" t="s">
        <v>214</v>
      </c>
      <c r="B6" s="30"/>
      <c r="C6" s="30"/>
      <c r="D6" s="30"/>
      <c r="E6" s="30"/>
      <c r="F6" s="30"/>
      <c r="G6" s="30"/>
      <c r="H6" s="30"/>
      <c r="I6" s="30"/>
      <c r="J6" s="127"/>
      <c r="K6" s="127"/>
      <c r="L6" s="127"/>
      <c r="M6" s="127"/>
    </row>
    <row r="7" spans="1:19" ht="18.75" x14ac:dyDescent="0.25">
      <c r="A7" s="238" t="s">
        <v>215</v>
      </c>
      <c r="B7" s="7"/>
      <c r="C7" s="1"/>
      <c r="D7" s="1"/>
      <c r="E7" s="1"/>
      <c r="F7" s="1"/>
      <c r="G7" s="1"/>
      <c r="H7" s="1"/>
      <c r="I7" s="1"/>
      <c r="J7" s="1"/>
      <c r="K7" s="1"/>
      <c r="L7" s="1"/>
      <c r="M7" s="1"/>
    </row>
    <row r="8" spans="1:19" ht="18.75" x14ac:dyDescent="0.25">
      <c r="A8" s="238" t="s">
        <v>216</v>
      </c>
      <c r="B8" s="7"/>
      <c r="C8" s="1"/>
      <c r="D8" s="1"/>
      <c r="E8" s="1"/>
      <c r="F8" s="1"/>
      <c r="G8" s="1"/>
      <c r="H8" s="1"/>
      <c r="I8" s="1"/>
      <c r="J8" s="1"/>
      <c r="K8" s="1"/>
      <c r="L8" s="1"/>
      <c r="M8" s="1"/>
    </row>
    <row r="9" spans="1:19" ht="33.75" customHeight="1" x14ac:dyDescent="0.35">
      <c r="A9" s="128" t="s">
        <v>84</v>
      </c>
      <c r="B9" s="30"/>
      <c r="C9" s="30"/>
      <c r="D9" s="30"/>
      <c r="E9" s="30"/>
      <c r="F9" s="30"/>
      <c r="G9" s="30"/>
      <c r="H9" s="30"/>
      <c r="I9" s="30"/>
      <c r="J9" s="127"/>
      <c r="K9" s="127"/>
      <c r="L9" s="127"/>
      <c r="M9" s="127"/>
    </row>
    <row r="10" spans="1:19" ht="21" x14ac:dyDescent="0.25">
      <c r="A10" s="129" t="s">
        <v>85</v>
      </c>
      <c r="B10" s="9"/>
      <c r="C10" s="10"/>
      <c r="D10" s="14"/>
      <c r="E10" s="11"/>
      <c r="F10" s="12"/>
      <c r="G10" s="12"/>
      <c r="H10" s="12"/>
      <c r="I10" s="12"/>
      <c r="J10" s="130"/>
      <c r="K10" s="130"/>
      <c r="L10" s="130"/>
      <c r="M10" s="127"/>
    </row>
    <row r="11" spans="1:19" ht="18.75" x14ac:dyDescent="0.3">
      <c r="A11" s="57" t="s">
        <v>200</v>
      </c>
      <c r="B11" s="7"/>
      <c r="C11" s="1"/>
      <c r="D11" s="1"/>
      <c r="E11" s="1"/>
      <c r="F11" s="1"/>
      <c r="G11" s="1"/>
      <c r="H11" s="1"/>
      <c r="I11" s="1"/>
      <c r="J11" s="1"/>
      <c r="K11" s="1"/>
      <c r="L11" s="1"/>
      <c r="M11" s="1"/>
    </row>
    <row r="12" spans="1:19" ht="15.75" x14ac:dyDescent="0.25">
      <c r="A12" s="57" t="s">
        <v>201</v>
      </c>
      <c r="B12" s="19"/>
      <c r="C12" s="20"/>
      <c r="D12" s="21"/>
      <c r="E12" s="22"/>
      <c r="F12" s="23"/>
      <c r="G12" s="21"/>
      <c r="H12" s="21"/>
      <c r="I12" s="21"/>
      <c r="J12" s="131"/>
      <c r="K12" s="131"/>
      <c r="L12" s="131"/>
      <c r="M12" s="131"/>
    </row>
    <row r="13" spans="1:19" ht="15.75" x14ac:dyDescent="0.25">
      <c r="A13" s="57" t="s">
        <v>171</v>
      </c>
      <c r="B13" s="19"/>
      <c r="C13" s="20"/>
      <c r="D13" s="21"/>
      <c r="E13" s="22"/>
      <c r="F13" s="23"/>
      <c r="G13" s="21"/>
      <c r="H13" s="21"/>
      <c r="I13" s="21"/>
      <c r="J13" s="131"/>
      <c r="K13" s="131"/>
      <c r="L13" s="131"/>
      <c r="M13" s="131"/>
    </row>
    <row r="14" spans="1:19" ht="33.75" customHeight="1" x14ac:dyDescent="0.35">
      <c r="A14" s="128" t="s">
        <v>86</v>
      </c>
      <c r="B14" s="30"/>
      <c r="C14" s="30"/>
      <c r="D14" s="30"/>
      <c r="E14" s="30"/>
      <c r="F14" s="30"/>
      <c r="G14" s="30"/>
      <c r="H14" s="30"/>
      <c r="I14" s="30"/>
      <c r="J14" s="127"/>
      <c r="K14" s="127"/>
      <c r="L14" s="127"/>
      <c r="M14" s="127"/>
    </row>
    <row r="15" spans="1:19" ht="18.75" x14ac:dyDescent="0.3">
      <c r="A15" s="57" t="s">
        <v>87</v>
      </c>
      <c r="B15" s="28"/>
      <c r="C15" s="55" t="s">
        <v>202</v>
      </c>
      <c r="D15" s="24"/>
      <c r="E15" s="25"/>
      <c r="F15" s="26"/>
      <c r="G15" s="24"/>
      <c r="H15" s="24"/>
      <c r="I15" s="24"/>
      <c r="J15" s="132"/>
      <c r="K15" s="132"/>
      <c r="L15" s="132"/>
      <c r="M15" s="132"/>
    </row>
    <row r="16" spans="1:19" ht="15.75" x14ac:dyDescent="0.25">
      <c r="A16" s="57" t="s">
        <v>88</v>
      </c>
      <c r="B16" s="57"/>
      <c r="C16" s="133" t="s">
        <v>203</v>
      </c>
      <c r="D16" s="24"/>
      <c r="E16" s="25"/>
      <c r="F16" s="26"/>
      <c r="G16" s="24"/>
      <c r="H16" s="27"/>
      <c r="I16" s="27"/>
      <c r="J16" s="134"/>
      <c r="K16" s="134"/>
      <c r="L16" s="134"/>
      <c r="M16" s="134"/>
    </row>
    <row r="17" spans="1:13" ht="15.75" x14ac:dyDescent="0.25">
      <c r="A17" s="57"/>
      <c r="B17" s="57"/>
      <c r="C17" s="55"/>
      <c r="D17" s="24"/>
      <c r="E17" s="25"/>
      <c r="F17" s="26"/>
      <c r="G17" s="24"/>
      <c r="H17" s="27"/>
      <c r="I17" s="27"/>
      <c r="J17" s="134"/>
      <c r="K17" s="134"/>
      <c r="L17" s="134"/>
      <c r="M17" s="134"/>
    </row>
    <row r="18" spans="1:13" ht="56.25" customHeight="1" x14ac:dyDescent="0.25">
      <c r="A18" s="239" t="s">
        <v>25</v>
      </c>
      <c r="B18" s="29"/>
      <c r="C18" s="29"/>
      <c r="D18" s="29"/>
      <c r="E18" s="29"/>
      <c r="F18" s="29"/>
      <c r="G18" s="29"/>
      <c r="H18" s="29"/>
      <c r="I18" s="29"/>
      <c r="J18" s="126"/>
      <c r="K18" s="126"/>
      <c r="L18" s="126"/>
      <c r="M18" s="126"/>
    </row>
    <row r="19" spans="1:13" ht="18.75" x14ac:dyDescent="0.25">
      <c r="A19" s="58" t="s">
        <v>89</v>
      </c>
      <c r="B19" s="30"/>
      <c r="C19" s="30"/>
      <c r="D19" s="30"/>
      <c r="E19" s="30"/>
      <c r="F19" s="30"/>
      <c r="G19" s="30"/>
      <c r="H19" s="30"/>
      <c r="I19" s="30"/>
      <c r="J19" s="127"/>
      <c r="K19" s="127"/>
      <c r="L19" s="127"/>
      <c r="M19" s="127"/>
    </row>
    <row r="20" spans="1:13" ht="15.75" x14ac:dyDescent="0.25">
      <c r="A20" s="48" t="s">
        <v>90</v>
      </c>
      <c r="B20" s="7"/>
      <c r="C20" s="7"/>
      <c r="D20" s="7"/>
      <c r="E20" s="13"/>
      <c r="F20" s="13"/>
      <c r="G20" s="13"/>
      <c r="H20" s="13"/>
      <c r="I20" s="13"/>
      <c r="J20" s="126"/>
      <c r="K20" s="126"/>
      <c r="L20" s="126"/>
      <c r="M20" s="126"/>
    </row>
    <row r="21" spans="1:13" ht="15.75" x14ac:dyDescent="0.25">
      <c r="A21" s="135">
        <f>45+22.4</f>
        <v>67.400000000000006</v>
      </c>
      <c r="B21" s="7" t="s">
        <v>91</v>
      </c>
      <c r="C21" s="7"/>
      <c r="D21" s="7"/>
      <c r="E21" s="13"/>
      <c r="F21" s="13"/>
      <c r="G21" s="13"/>
      <c r="H21" s="13"/>
      <c r="I21" s="13"/>
      <c r="J21" s="126"/>
      <c r="K21" s="126"/>
      <c r="L21" s="126"/>
      <c r="M21" s="126"/>
    </row>
    <row r="22" spans="1:13" ht="15.75" x14ac:dyDescent="0.25">
      <c r="A22" s="8"/>
      <c r="B22" s="7" t="s">
        <v>23</v>
      </c>
      <c r="C22" s="7"/>
      <c r="D22" s="7"/>
      <c r="E22" s="13"/>
      <c r="F22" s="13"/>
      <c r="G22" s="13"/>
      <c r="H22" s="13"/>
      <c r="I22" s="13"/>
      <c r="J22" s="126"/>
      <c r="K22" s="126"/>
      <c r="L22" s="126"/>
      <c r="M22" s="126"/>
    </row>
    <row r="23" spans="1:13" ht="15.75" x14ac:dyDescent="0.25">
      <c r="A23" s="136">
        <v>67.400000000000006</v>
      </c>
      <c r="B23" s="7" t="s">
        <v>92</v>
      </c>
      <c r="C23" s="7"/>
      <c r="D23" s="7"/>
      <c r="E23" s="13"/>
      <c r="F23" s="13"/>
      <c r="G23" s="13"/>
      <c r="H23" s="13"/>
      <c r="I23" s="13"/>
      <c r="J23" s="126"/>
      <c r="K23" s="126"/>
      <c r="L23" s="126"/>
      <c r="M23" s="126"/>
    </row>
    <row r="24" spans="1:13" ht="18.75" x14ac:dyDescent="0.25">
      <c r="A24" s="58" t="s">
        <v>93</v>
      </c>
      <c r="B24" s="7"/>
      <c r="C24" s="7"/>
      <c r="D24" s="7"/>
      <c r="E24" s="13"/>
      <c r="F24" s="13"/>
      <c r="G24" s="13"/>
      <c r="H24" s="13"/>
      <c r="I24" s="13"/>
      <c r="J24" s="126"/>
      <c r="K24" s="126"/>
      <c r="L24" s="126"/>
      <c r="M24" s="126"/>
    </row>
    <row r="25" spans="1:13" ht="15.75" x14ac:dyDescent="0.25">
      <c r="A25" s="8"/>
      <c r="B25" s="7" t="s">
        <v>94</v>
      </c>
      <c r="C25" s="7"/>
      <c r="D25" s="7"/>
      <c r="E25" s="13"/>
      <c r="F25" s="13"/>
      <c r="G25" s="13"/>
      <c r="H25" s="13"/>
      <c r="I25" s="13"/>
      <c r="J25" s="126"/>
      <c r="K25" s="126"/>
      <c r="L25" s="126"/>
      <c r="M25" s="126"/>
    </row>
    <row r="26" spans="1:13" ht="15.75" x14ac:dyDescent="0.25">
      <c r="A26" s="8"/>
      <c r="B26" s="7" t="s">
        <v>95</v>
      </c>
      <c r="C26" s="7"/>
      <c r="D26" s="7"/>
      <c r="E26" s="13"/>
      <c r="F26" s="13"/>
      <c r="G26" s="13"/>
      <c r="H26" s="13"/>
      <c r="I26" s="13"/>
      <c r="J26" s="126"/>
      <c r="K26" s="126"/>
      <c r="L26" s="126"/>
      <c r="M26" s="126"/>
    </row>
    <row r="27" spans="1:13" x14ac:dyDescent="0.25">
      <c r="A27" s="60" t="str">
        <f>'business model (in Real terms)'!A132</f>
        <v>production of fertiliser</v>
      </c>
      <c r="B27" s="60" t="str">
        <f>'business model (in Real terms)'!B132</f>
        <v>kilograms</v>
      </c>
      <c r="C27" s="237">
        <f>'business model (in Real terms)'!C132</f>
        <v>2529537.2292000004</v>
      </c>
      <c r="D27" s="137">
        <f>'business model (in Real terms)'!D132</f>
        <v>0</v>
      </c>
      <c r="E27" s="137">
        <f>'business model (in Real terms)'!E132</f>
        <v>0</v>
      </c>
      <c r="F27" s="137">
        <f>'business model (in Real terms)'!F132</f>
        <v>0</v>
      </c>
      <c r="G27" s="137">
        <f>'business model (in Real terms)'!G132</f>
        <v>0</v>
      </c>
      <c r="H27" s="137">
        <f>'business model (in Real terms)'!H132</f>
        <v>0</v>
      </c>
      <c r="I27" s="137">
        <f>'business model (in Real terms)'!I132</f>
        <v>21000</v>
      </c>
      <c r="J27" s="138">
        <f>'business model (in Real terms)'!J132</f>
        <v>32100</v>
      </c>
      <c r="K27" s="138">
        <f>'business model (in Real terms)'!K132</f>
        <v>35310</v>
      </c>
      <c r="L27" s="138">
        <f>'business model (in Real terms)'!L132</f>
        <v>38841</v>
      </c>
      <c r="M27" s="138">
        <f>'business model (in Real terms)'!M132</f>
        <v>42725.1</v>
      </c>
    </row>
    <row r="28" spans="1:13" ht="15.75" x14ac:dyDescent="0.25">
      <c r="A28" s="8"/>
      <c r="B28" s="7" t="s">
        <v>96</v>
      </c>
      <c r="C28" s="7"/>
      <c r="D28" s="7"/>
      <c r="E28" s="13"/>
      <c r="F28" s="13"/>
      <c r="G28" s="13"/>
      <c r="H28" s="13"/>
      <c r="I28" s="13"/>
      <c r="J28" s="126"/>
      <c r="K28" s="126"/>
      <c r="L28" s="126"/>
      <c r="M28" s="126"/>
    </row>
    <row r="29" spans="1:13" ht="15.75" x14ac:dyDescent="0.25">
      <c r="A29" s="8"/>
      <c r="B29" s="7" t="s">
        <v>97</v>
      </c>
      <c r="C29" s="7"/>
      <c r="D29" s="7"/>
      <c r="E29" s="13"/>
      <c r="F29" s="13"/>
      <c r="G29" s="13"/>
      <c r="H29" s="13"/>
      <c r="I29" s="13"/>
      <c r="J29" s="126"/>
      <c r="K29" s="126"/>
      <c r="L29" s="126"/>
      <c r="M29" s="126"/>
    </row>
    <row r="30" spans="1:13" ht="18.75" x14ac:dyDescent="0.25">
      <c r="A30" s="58" t="s">
        <v>98</v>
      </c>
      <c r="B30" s="7"/>
      <c r="C30" s="7"/>
      <c r="D30" s="7"/>
      <c r="E30" s="13"/>
      <c r="F30" s="13"/>
      <c r="G30" s="13"/>
      <c r="H30" s="13"/>
      <c r="I30" s="13"/>
      <c r="J30" s="126"/>
      <c r="K30" s="126"/>
      <c r="L30" s="126"/>
      <c r="M30" s="126"/>
    </row>
    <row r="31" spans="1:13" ht="16.5" thickBot="1" x14ac:dyDescent="0.3">
      <c r="A31" s="1">
        <f>A21+A23</f>
        <v>134.80000000000001</v>
      </c>
      <c r="B31" s="7" t="s">
        <v>22</v>
      </c>
      <c r="C31" s="7"/>
      <c r="D31" s="7"/>
      <c r="E31" s="13"/>
      <c r="F31" s="13"/>
      <c r="G31" s="13"/>
      <c r="H31" s="13"/>
      <c r="I31" s="13"/>
      <c r="J31" s="126"/>
      <c r="K31" s="126"/>
      <c r="L31" s="126"/>
      <c r="M31" s="126"/>
    </row>
    <row r="32" spans="1:13" ht="16.5" thickBot="1" x14ac:dyDescent="0.3">
      <c r="A32" s="139">
        <f>A21+A23</f>
        <v>134.80000000000001</v>
      </c>
      <c r="B32" s="7" t="s">
        <v>21</v>
      </c>
      <c r="C32" s="7"/>
      <c r="D32" s="7"/>
      <c r="E32" s="13"/>
      <c r="F32" s="13"/>
      <c r="G32" s="13"/>
      <c r="H32" s="13"/>
      <c r="I32" s="13"/>
      <c r="J32" s="126"/>
      <c r="K32" s="126"/>
      <c r="L32" s="126"/>
      <c r="M32" s="126"/>
    </row>
    <row r="33" spans="1:13" ht="18.75" x14ac:dyDescent="0.25">
      <c r="A33" s="261" t="s">
        <v>99</v>
      </c>
      <c r="B33" s="7"/>
      <c r="C33" s="7"/>
      <c r="D33" s="7"/>
      <c r="E33" s="13"/>
      <c r="F33" s="13"/>
      <c r="G33" s="13"/>
      <c r="H33" s="13"/>
      <c r="I33" s="13"/>
      <c r="J33" s="126"/>
      <c r="K33" s="126"/>
      <c r="L33" s="126"/>
      <c r="M33" s="126"/>
    </row>
    <row r="34" spans="1:13" ht="15.75" x14ac:dyDescent="0.25">
      <c r="A34" s="140">
        <v>67.400000000000006</v>
      </c>
      <c r="B34" s="7" t="s">
        <v>205</v>
      </c>
      <c r="C34" s="7"/>
      <c r="D34" s="7"/>
      <c r="E34" s="13"/>
      <c r="F34" s="13"/>
      <c r="G34" s="13"/>
      <c r="H34" s="13"/>
      <c r="I34" s="13"/>
      <c r="J34" s="126"/>
      <c r="K34" s="126"/>
      <c r="L34" s="126"/>
      <c r="M34" s="126"/>
    </row>
    <row r="35" spans="1:13" ht="18.75" x14ac:dyDescent="0.25">
      <c r="A35" s="58" t="s">
        <v>100</v>
      </c>
      <c r="B35" s="7"/>
      <c r="C35" s="7"/>
      <c r="D35" s="7"/>
      <c r="E35" s="13"/>
      <c r="F35" s="13"/>
      <c r="G35" s="13"/>
      <c r="H35" s="13"/>
      <c r="I35" s="13"/>
      <c r="J35" s="126"/>
      <c r="K35" s="126"/>
      <c r="L35" s="126"/>
      <c r="M35" s="126"/>
    </row>
    <row r="36" spans="1:13" ht="15.75" x14ac:dyDescent="0.25">
      <c r="A36" s="7" t="s">
        <v>101</v>
      </c>
      <c r="B36" s="7"/>
      <c r="C36" s="7"/>
      <c r="D36" s="7"/>
      <c r="E36" s="13"/>
      <c r="F36" s="13"/>
      <c r="G36" s="13"/>
      <c r="H36" s="13"/>
      <c r="I36" s="13"/>
      <c r="J36" s="126"/>
      <c r="K36" s="126"/>
      <c r="L36" s="126"/>
      <c r="M36" s="126"/>
    </row>
    <row r="37" spans="1:13" ht="15.75" x14ac:dyDescent="0.25">
      <c r="A37" s="7"/>
      <c r="B37" s="7" t="s">
        <v>102</v>
      </c>
      <c r="C37" s="7"/>
      <c r="D37" s="7"/>
      <c r="E37" s="13"/>
      <c r="F37" s="13"/>
      <c r="G37" s="13"/>
      <c r="H37" s="13"/>
      <c r="I37" s="13"/>
      <c r="J37" s="126"/>
      <c r="K37" s="126"/>
      <c r="L37" s="126"/>
      <c r="M37" s="126"/>
    </row>
    <row r="38" spans="1:13" ht="15.75" x14ac:dyDescent="0.25">
      <c r="A38" s="7"/>
      <c r="B38" s="7"/>
      <c r="C38" s="7" t="s">
        <v>103</v>
      </c>
      <c r="D38" s="7"/>
      <c r="E38" s="13"/>
      <c r="F38" s="13"/>
      <c r="G38" s="13"/>
      <c r="H38" s="13"/>
      <c r="I38" s="13"/>
      <c r="J38" s="126"/>
      <c r="K38" s="126"/>
      <c r="L38" s="126"/>
      <c r="M38" s="126"/>
    </row>
    <row r="39" spans="1:13" ht="15.75" x14ac:dyDescent="0.25">
      <c r="A39" s="15"/>
      <c r="B39" s="15"/>
      <c r="C39" s="15"/>
      <c r="D39" s="7" t="s">
        <v>104</v>
      </c>
      <c r="E39" s="15"/>
      <c r="F39" s="15"/>
      <c r="G39" s="13"/>
      <c r="H39" s="13"/>
      <c r="I39" s="13"/>
      <c r="J39" s="126"/>
      <c r="K39" s="126"/>
      <c r="L39" s="126"/>
      <c r="M39" s="126"/>
    </row>
    <row r="40" spans="1:13" x14ac:dyDescent="0.25">
      <c r="A40" s="3" t="s">
        <v>204</v>
      </c>
      <c r="B40" s="13"/>
      <c r="C40" s="13"/>
      <c r="D40" s="13"/>
      <c r="E40" s="13"/>
      <c r="F40" s="13"/>
      <c r="G40" s="13"/>
      <c r="H40" s="13"/>
      <c r="I40" s="13"/>
      <c r="J40" s="126"/>
      <c r="K40" s="126"/>
      <c r="L40" s="126"/>
      <c r="M40" s="126"/>
    </row>
    <row r="41" spans="1:13" x14ac:dyDescent="0.25">
      <c r="J41" s="141"/>
      <c r="K41" s="141"/>
      <c r="L41" s="141"/>
      <c r="M41" s="141"/>
    </row>
  </sheetData>
  <pageMargins left="0.70866141732283472" right="0.70866141732283472" top="0.74803149606299213" bottom="0.74803149606299213" header="0.31496062992125984" footer="0.31496062992125984"/>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X277"/>
  <sheetViews>
    <sheetView zoomScale="70" zoomScaleNormal="70" workbookViewId="0">
      <pane xSplit="22680" topLeftCell="AW1"/>
      <selection activeCell="B3" sqref="B3"/>
      <selection pane="topRight" activeCell="AW192" sqref="AW192"/>
    </sheetView>
  </sheetViews>
  <sheetFormatPr defaultColWidth="8.85546875" defaultRowHeight="15.75" x14ac:dyDescent="0.25"/>
  <cols>
    <col min="1" max="1" width="67.28515625" style="7" customWidth="1"/>
    <col min="2" max="2" width="21.85546875" style="7" customWidth="1"/>
    <col min="3" max="3" width="21.85546875" style="1" customWidth="1"/>
    <col min="4" max="10" width="18.42578125" style="4" customWidth="1"/>
    <col min="11" max="51" width="18.42578125" style="7" customWidth="1"/>
    <col min="52" max="16384" width="8.85546875" style="7"/>
  </cols>
  <sheetData>
    <row r="1" spans="1:51" s="33" customFormat="1" ht="30.75" customHeight="1" x14ac:dyDescent="0.25">
      <c r="A1" s="61" t="str">
        <f>'Intro &amp; Audits'!A1</f>
        <v>One-page Business Model with One-page Project Funding of a Social Enterprise - 48 months: Village Organic Fertilisers (first 48 months)</v>
      </c>
      <c r="B1" s="218"/>
      <c r="C1" s="32"/>
      <c r="D1" s="32"/>
      <c r="E1" s="32"/>
      <c r="F1" s="32"/>
      <c r="G1" s="32"/>
    </row>
    <row r="2" spans="1:51" s="34" customFormat="1" ht="30.75" customHeight="1" x14ac:dyDescent="0.25">
      <c r="A2" s="66" t="s">
        <v>24</v>
      </c>
    </row>
    <row r="3" spans="1:51" s="34" customFormat="1" ht="57" customHeight="1" x14ac:dyDescent="0.25">
      <c r="A3" s="155" t="s">
        <v>206</v>
      </c>
      <c r="B3" s="29"/>
      <c r="C3" s="6"/>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row>
    <row r="4" spans="1:51" s="34" customFormat="1" ht="18.75" x14ac:dyDescent="0.25">
      <c r="A4" s="113" t="str">
        <f>A210</f>
        <v>Net Cashflow after 48 months (before funding)</v>
      </c>
      <c r="B4" s="245" t="str">
        <f t="shared" ref="B4:C4" si="0">B210</f>
        <v>$ Real</v>
      </c>
      <c r="C4" s="114">
        <f t="shared" si="0"/>
        <v>51863.42405742003</v>
      </c>
      <c r="D4" s="33"/>
      <c r="E4" s="33"/>
      <c r="F4" s="33"/>
      <c r="G4" s="33"/>
      <c r="H4" s="33"/>
      <c r="I4" s="33"/>
      <c r="J4" s="33"/>
    </row>
    <row r="5" spans="1:51" s="34" customFormat="1" ht="18.75" x14ac:dyDescent="0.25">
      <c r="A5" s="113" t="str">
        <f>A220</f>
        <v>NPV after 48 months  (before funding)</v>
      </c>
      <c r="B5" s="246" t="str">
        <f>B220</f>
        <v xml:space="preserve">$ </v>
      </c>
      <c r="C5" s="121">
        <f>C220</f>
        <v>27046.594000093057</v>
      </c>
      <c r="D5" s="33"/>
      <c r="E5" s="33"/>
      <c r="F5" s="33"/>
      <c r="G5" s="33"/>
      <c r="H5" s="33"/>
      <c r="I5" s="33"/>
      <c r="J5" s="33"/>
    </row>
    <row r="6" spans="1:51" s="51" customFormat="1" ht="18.75" x14ac:dyDescent="0.25">
      <c r="A6" s="115" t="s">
        <v>39</v>
      </c>
      <c r="B6" s="116"/>
      <c r="C6" s="117" t="s">
        <v>213</v>
      </c>
      <c r="D6" s="50"/>
      <c r="E6" s="50"/>
      <c r="F6" s="50"/>
      <c r="G6" s="50"/>
      <c r="H6" s="50"/>
      <c r="I6" s="50"/>
      <c r="J6" s="50"/>
    </row>
    <row r="7" spans="1:51" s="51" customFormat="1" x14ac:dyDescent="0.25">
      <c r="A7" s="52"/>
      <c r="B7" s="53"/>
      <c r="C7" s="54"/>
      <c r="D7" s="50"/>
      <c r="E7" s="50"/>
      <c r="F7" s="50"/>
      <c r="G7" s="50"/>
      <c r="H7" s="50"/>
      <c r="I7" s="50"/>
      <c r="J7" s="50"/>
    </row>
    <row r="8" spans="1:51" x14ac:dyDescent="0.25">
      <c r="A8" s="36"/>
      <c r="D8" s="1"/>
      <c r="E8" s="1"/>
      <c r="F8" s="1"/>
      <c r="G8" s="1"/>
      <c r="H8" s="1"/>
      <c r="I8" s="1"/>
      <c r="J8" s="1"/>
    </row>
    <row r="9" spans="1:51" ht="17.25" customHeight="1" x14ac:dyDescent="0.25">
      <c r="A9" s="8"/>
      <c r="C9" s="37"/>
    </row>
    <row r="10" spans="1:51" ht="17.25" customHeight="1" x14ac:dyDescent="0.25">
      <c r="A10" s="8"/>
      <c r="C10" s="37"/>
    </row>
    <row r="11" spans="1:51" ht="17.25" customHeight="1" x14ac:dyDescent="0.25">
      <c r="A11" s="8"/>
      <c r="C11" s="37"/>
    </row>
    <row r="12" spans="1:51" ht="17.25" customHeight="1" x14ac:dyDescent="0.25">
      <c r="A12" s="8"/>
      <c r="C12" s="37"/>
    </row>
    <row r="13" spans="1:51" ht="17.25" customHeight="1" x14ac:dyDescent="0.25">
      <c r="A13" s="8"/>
      <c r="C13" s="37"/>
    </row>
    <row r="14" spans="1:51" ht="17.25" customHeight="1" x14ac:dyDescent="0.25">
      <c r="A14" s="8"/>
      <c r="C14" s="37"/>
    </row>
    <row r="15" spans="1:51" ht="17.25" customHeight="1" x14ac:dyDescent="0.25">
      <c r="A15" s="8"/>
      <c r="C15" s="37"/>
    </row>
    <row r="16" spans="1:51" ht="17.25" customHeight="1" x14ac:dyDescent="0.25">
      <c r="A16" s="8"/>
      <c r="C16" s="37"/>
    </row>
    <row r="17" spans="1:3" ht="17.25" customHeight="1" x14ac:dyDescent="0.25">
      <c r="A17" s="8"/>
      <c r="C17" s="37"/>
    </row>
    <row r="18" spans="1:3" ht="17.25" customHeight="1" x14ac:dyDescent="0.25">
      <c r="A18" s="8"/>
      <c r="C18" s="37"/>
    </row>
    <row r="19" spans="1:3" ht="17.25" customHeight="1" x14ac:dyDescent="0.25">
      <c r="A19" s="8"/>
      <c r="C19" s="37"/>
    </row>
    <row r="20" spans="1:3" ht="17.25" customHeight="1" x14ac:dyDescent="0.25">
      <c r="A20" s="8"/>
      <c r="C20" s="37"/>
    </row>
    <row r="21" spans="1:3" ht="17.25" customHeight="1" x14ac:dyDescent="0.25">
      <c r="A21" s="8"/>
      <c r="C21" s="37"/>
    </row>
    <row r="22" spans="1:3" ht="17.25" customHeight="1" x14ac:dyDescent="0.25">
      <c r="A22" s="8"/>
      <c r="C22" s="37"/>
    </row>
    <row r="23" spans="1:3" ht="17.25" customHeight="1" x14ac:dyDescent="0.25">
      <c r="A23" s="8"/>
      <c r="C23" s="37"/>
    </row>
    <row r="24" spans="1:3" ht="17.25" customHeight="1" x14ac:dyDescent="0.25">
      <c r="A24" s="8"/>
      <c r="C24" s="37"/>
    </row>
    <row r="25" spans="1:3" ht="17.25" customHeight="1" x14ac:dyDescent="0.25">
      <c r="A25" s="8"/>
      <c r="C25" s="37"/>
    </row>
    <row r="26" spans="1:3" ht="17.25" customHeight="1" x14ac:dyDescent="0.25">
      <c r="A26" s="8"/>
      <c r="C26" s="37"/>
    </row>
    <row r="27" spans="1:3" ht="17.25" customHeight="1" x14ac:dyDescent="0.25">
      <c r="A27" s="8"/>
      <c r="C27" s="37"/>
    </row>
    <row r="28" spans="1:3" ht="17.25" customHeight="1" x14ac:dyDescent="0.25">
      <c r="A28" s="8"/>
      <c r="C28" s="37"/>
    </row>
    <row r="29" spans="1:3" ht="17.25" customHeight="1" x14ac:dyDescent="0.25">
      <c r="A29" s="8"/>
      <c r="C29" s="37"/>
    </row>
    <row r="30" spans="1:3" ht="17.25" customHeight="1" x14ac:dyDescent="0.25">
      <c r="A30" s="8"/>
      <c r="C30" s="37"/>
    </row>
    <row r="31" spans="1:3" ht="17.25" customHeight="1" x14ac:dyDescent="0.25">
      <c r="A31" s="8"/>
      <c r="C31" s="37"/>
    </row>
    <row r="32" spans="1:3" ht="17.25" customHeight="1" x14ac:dyDescent="0.25">
      <c r="A32" s="8"/>
      <c r="C32" s="37"/>
    </row>
    <row r="33" spans="1:16" ht="17.25" customHeight="1" x14ac:dyDescent="0.25">
      <c r="A33" s="8"/>
      <c r="C33" s="37"/>
    </row>
    <row r="34" spans="1:16" ht="17.25" customHeight="1" x14ac:dyDescent="0.25">
      <c r="A34" s="8"/>
      <c r="C34" s="37"/>
    </row>
    <row r="35" spans="1:16" ht="17.25" customHeight="1" x14ac:dyDescent="0.25">
      <c r="A35" s="8"/>
      <c r="C35" s="37"/>
      <c r="M35" s="4"/>
      <c r="O35" s="4"/>
      <c r="P35" s="38"/>
    </row>
    <row r="36" spans="1:16" ht="17.25" customHeight="1" x14ac:dyDescent="0.25">
      <c r="A36" s="8"/>
      <c r="C36" s="37"/>
      <c r="M36" s="4"/>
      <c r="O36" s="4"/>
      <c r="P36" s="38"/>
    </row>
    <row r="37" spans="1:16" ht="17.25" customHeight="1" x14ac:dyDescent="0.25">
      <c r="A37" s="8"/>
      <c r="C37" s="37"/>
      <c r="M37" s="4"/>
      <c r="O37" s="4"/>
      <c r="P37" s="38"/>
    </row>
    <row r="38" spans="1:16" ht="17.25" customHeight="1" x14ac:dyDescent="0.25">
      <c r="A38" s="8"/>
      <c r="C38" s="37"/>
    </row>
    <row r="39" spans="1:16" ht="17.25" customHeight="1" x14ac:dyDescent="0.25">
      <c r="A39" s="8"/>
      <c r="C39" s="37"/>
    </row>
    <row r="40" spans="1:16" ht="17.25" customHeight="1" x14ac:dyDescent="0.25">
      <c r="A40" s="8"/>
      <c r="C40" s="37"/>
    </row>
    <row r="41" spans="1:16" ht="17.25" customHeight="1" x14ac:dyDescent="0.25">
      <c r="A41" s="8"/>
      <c r="C41" s="37"/>
    </row>
    <row r="42" spans="1:16" ht="17.25" customHeight="1" x14ac:dyDescent="0.25">
      <c r="A42" s="8"/>
      <c r="C42" s="37"/>
    </row>
    <row r="43" spans="1:16" ht="17.25" customHeight="1" x14ac:dyDescent="0.25">
      <c r="A43" s="8"/>
      <c r="C43" s="37"/>
    </row>
    <row r="44" spans="1:16" ht="17.25" customHeight="1" x14ac:dyDescent="0.25">
      <c r="A44" s="8"/>
      <c r="C44" s="37"/>
    </row>
    <row r="45" spans="1:16" ht="17.25" customHeight="1" x14ac:dyDescent="0.25">
      <c r="A45" s="8"/>
      <c r="C45" s="37"/>
    </row>
    <row r="46" spans="1:16" ht="17.25" customHeight="1" x14ac:dyDescent="0.25">
      <c r="A46" s="8"/>
      <c r="C46" s="37"/>
    </row>
    <row r="47" spans="1:16" ht="17.25" customHeight="1" x14ac:dyDescent="0.25">
      <c r="A47" s="8"/>
      <c r="C47" s="37"/>
    </row>
    <row r="48" spans="1:16" ht="17.25" customHeight="1" x14ac:dyDescent="0.25">
      <c r="A48" s="8"/>
      <c r="C48" s="37"/>
    </row>
    <row r="49" spans="1:3" ht="17.25" customHeight="1" x14ac:dyDescent="0.25">
      <c r="A49" s="8"/>
      <c r="C49" s="37"/>
    </row>
    <row r="50" spans="1:3" ht="17.25" customHeight="1" x14ac:dyDescent="0.25">
      <c r="A50" s="8"/>
      <c r="C50" s="37"/>
    </row>
    <row r="51" spans="1:3" ht="17.25" customHeight="1" x14ac:dyDescent="0.25">
      <c r="A51" s="8"/>
      <c r="C51" s="37"/>
    </row>
    <row r="52" spans="1:3" ht="17.25" customHeight="1" x14ac:dyDescent="0.25">
      <c r="A52" s="8"/>
      <c r="C52" s="37"/>
    </row>
    <row r="53" spans="1:3" ht="17.25" customHeight="1" x14ac:dyDescent="0.25">
      <c r="A53" s="8"/>
      <c r="C53" s="37"/>
    </row>
    <row r="54" spans="1:3" ht="17.25" customHeight="1" x14ac:dyDescent="0.25">
      <c r="A54" s="8"/>
      <c r="C54" s="37"/>
    </row>
    <row r="55" spans="1:3" ht="17.25" customHeight="1" x14ac:dyDescent="0.25">
      <c r="A55" s="8"/>
      <c r="C55" s="37"/>
    </row>
    <row r="56" spans="1:3" ht="17.25" customHeight="1" x14ac:dyDescent="0.25">
      <c r="A56" s="8"/>
      <c r="C56" s="37"/>
    </row>
    <row r="57" spans="1:3" ht="17.25" customHeight="1" x14ac:dyDescent="0.25">
      <c r="A57" s="8"/>
      <c r="C57" s="37"/>
    </row>
    <row r="58" spans="1:3" ht="17.25" customHeight="1" x14ac:dyDescent="0.25">
      <c r="A58" s="8"/>
      <c r="C58" s="37"/>
    </row>
    <row r="59" spans="1:3" ht="17.25" customHeight="1" x14ac:dyDescent="0.25">
      <c r="A59" s="8"/>
      <c r="C59" s="37"/>
    </row>
    <row r="60" spans="1:3" ht="17.25" customHeight="1" x14ac:dyDescent="0.25">
      <c r="A60" s="8"/>
      <c r="C60" s="37"/>
    </row>
    <row r="61" spans="1:3" ht="17.25" customHeight="1" x14ac:dyDescent="0.25">
      <c r="A61" s="8"/>
      <c r="C61" s="37"/>
    </row>
    <row r="62" spans="1:3" ht="17.25" customHeight="1" x14ac:dyDescent="0.25">
      <c r="A62" s="8"/>
      <c r="C62" s="37"/>
    </row>
    <row r="63" spans="1:3" ht="17.25" customHeight="1" x14ac:dyDescent="0.25">
      <c r="A63" s="8"/>
      <c r="C63" s="37"/>
    </row>
    <row r="64" spans="1:3" ht="17.25" customHeight="1" x14ac:dyDescent="0.25">
      <c r="A64" s="8"/>
      <c r="C64" s="37"/>
    </row>
    <row r="65" spans="1:5" ht="17.25" customHeight="1" x14ac:dyDescent="0.25">
      <c r="A65" s="8"/>
      <c r="C65" s="37"/>
    </row>
    <row r="66" spans="1:5" ht="17.25" customHeight="1" x14ac:dyDescent="0.25">
      <c r="A66" s="8"/>
      <c r="C66" s="37"/>
    </row>
    <row r="67" spans="1:5" ht="17.25" customHeight="1" x14ac:dyDescent="0.25">
      <c r="A67" s="8"/>
      <c r="C67" s="37"/>
    </row>
    <row r="68" spans="1:5" ht="17.25" customHeight="1" x14ac:dyDescent="0.25">
      <c r="A68" s="8"/>
      <c r="C68" s="37"/>
    </row>
    <row r="69" spans="1:5" ht="17.25" customHeight="1" x14ac:dyDescent="0.25">
      <c r="A69" s="8"/>
      <c r="C69" s="37"/>
    </row>
    <row r="70" spans="1:5" ht="17.25" customHeight="1" x14ac:dyDescent="0.25">
      <c r="A70" s="8"/>
      <c r="C70" s="37"/>
    </row>
    <row r="71" spans="1:5" ht="17.25" customHeight="1" x14ac:dyDescent="0.25">
      <c r="A71" s="8"/>
      <c r="C71" s="37"/>
    </row>
    <row r="72" spans="1:5" ht="17.25" customHeight="1" x14ac:dyDescent="0.25">
      <c r="A72" s="8"/>
      <c r="C72" s="37"/>
    </row>
    <row r="73" spans="1:5" ht="17.25" customHeight="1" x14ac:dyDescent="0.25">
      <c r="A73" s="8"/>
      <c r="C73" s="37"/>
    </row>
    <row r="74" spans="1:5" ht="17.25" customHeight="1" x14ac:dyDescent="0.25">
      <c r="A74" s="8"/>
      <c r="C74" s="37"/>
    </row>
    <row r="75" spans="1:5" ht="17.25" customHeight="1" x14ac:dyDescent="0.25">
      <c r="A75" s="8"/>
      <c r="C75" s="37"/>
      <c r="E75" s="38"/>
    </row>
    <row r="76" spans="1:5" ht="17.25" customHeight="1" x14ac:dyDescent="0.25">
      <c r="A76" s="8"/>
      <c r="C76" s="37"/>
    </row>
    <row r="77" spans="1:5" ht="17.25" customHeight="1" x14ac:dyDescent="0.25">
      <c r="A77" s="8"/>
      <c r="C77" s="37"/>
    </row>
    <row r="78" spans="1:5" ht="17.25" customHeight="1" x14ac:dyDescent="0.25">
      <c r="A78" s="8"/>
      <c r="C78" s="37"/>
    </row>
    <row r="79" spans="1:5" ht="17.25" customHeight="1" x14ac:dyDescent="0.25">
      <c r="A79" s="8"/>
      <c r="C79" s="37"/>
    </row>
    <row r="80" spans="1:5" ht="17.25" customHeight="1" x14ac:dyDescent="0.25">
      <c r="A80" s="8"/>
      <c r="C80" s="37"/>
    </row>
    <row r="81" spans="1:76" ht="17.25" customHeight="1" x14ac:dyDescent="0.25">
      <c r="A81" s="8"/>
      <c r="C81" s="37"/>
    </row>
    <row r="82" spans="1:76" ht="17.25" customHeight="1" x14ac:dyDescent="0.25">
      <c r="A82" s="8"/>
      <c r="C82" s="37"/>
    </row>
    <row r="83" spans="1:76" ht="17.25" customHeight="1" x14ac:dyDescent="0.25">
      <c r="A83" s="8"/>
      <c r="C83" s="37"/>
    </row>
    <row r="84" spans="1:76" ht="17.25" customHeight="1" x14ac:dyDescent="0.25">
      <c r="A84" s="8"/>
      <c r="C84" s="37"/>
    </row>
    <row r="85" spans="1:76" ht="17.25" customHeight="1" x14ac:dyDescent="0.25">
      <c r="A85" s="8"/>
      <c r="C85" s="37"/>
    </row>
    <row r="86" spans="1:76" ht="17.25" customHeight="1" x14ac:dyDescent="0.25">
      <c r="A86" s="8"/>
      <c r="C86" s="37"/>
    </row>
    <row r="87" spans="1:76" ht="17.25" customHeight="1" x14ac:dyDescent="0.25">
      <c r="A87" s="8"/>
      <c r="C87" s="37"/>
    </row>
    <row r="88" spans="1:76" ht="17.25" customHeight="1" x14ac:dyDescent="0.25">
      <c r="A88" s="8"/>
      <c r="C88" s="37"/>
    </row>
    <row r="89" spans="1:76" ht="17.25" customHeight="1" x14ac:dyDescent="0.25">
      <c r="A89" s="8"/>
      <c r="C89" s="37"/>
    </row>
    <row r="90" spans="1:76" ht="17.25" customHeight="1" x14ac:dyDescent="0.25">
      <c r="A90" s="8"/>
      <c r="C90" s="37"/>
    </row>
    <row r="91" spans="1:76" ht="17.25" customHeight="1" x14ac:dyDescent="0.25">
      <c r="A91" s="8"/>
      <c r="C91" s="37"/>
    </row>
    <row r="92" spans="1:76" ht="17.25" customHeight="1" x14ac:dyDescent="0.25">
      <c r="A92" s="8"/>
      <c r="C92" s="37"/>
    </row>
    <row r="93" spans="1:76" ht="17.25" customHeight="1" x14ac:dyDescent="0.25">
      <c r="A93" s="8"/>
      <c r="C93" s="37"/>
    </row>
    <row r="94" spans="1:76" ht="17.25" customHeight="1" x14ac:dyDescent="0.25">
      <c r="A94" s="8"/>
      <c r="C94" s="37"/>
    </row>
    <row r="95" spans="1:76" ht="17.25" customHeight="1" x14ac:dyDescent="0.25">
      <c r="A95" s="8"/>
      <c r="C95" s="37"/>
    </row>
    <row r="96" spans="1:76" ht="17.25" customHeight="1" x14ac:dyDescent="0.25">
      <c r="A96" s="8"/>
      <c r="C96" s="37"/>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row>
    <row r="97" spans="1:51" s="74" customFormat="1" ht="28.9" customHeight="1" x14ac:dyDescent="0.2">
      <c r="A97" s="72" t="s">
        <v>31</v>
      </c>
      <c r="B97" s="72" t="s">
        <v>4</v>
      </c>
      <c r="C97" s="72" t="s">
        <v>5</v>
      </c>
      <c r="D97" s="73">
        <v>43922</v>
      </c>
      <c r="E97" s="73">
        <v>43952</v>
      </c>
      <c r="F97" s="73">
        <v>43983</v>
      </c>
      <c r="G97" s="73">
        <v>44013</v>
      </c>
      <c r="H97" s="73">
        <v>44044</v>
      </c>
      <c r="I97" s="73">
        <v>44075</v>
      </c>
      <c r="J97" s="73">
        <v>44105</v>
      </c>
      <c r="K97" s="73">
        <v>44136</v>
      </c>
      <c r="L97" s="73">
        <v>44166</v>
      </c>
      <c r="M97" s="73">
        <v>44197</v>
      </c>
      <c r="N97" s="73">
        <v>44228</v>
      </c>
      <c r="O97" s="73">
        <v>44256</v>
      </c>
      <c r="P97" s="73">
        <v>44287</v>
      </c>
      <c r="Q97" s="73">
        <v>44317</v>
      </c>
      <c r="R97" s="73">
        <v>44348</v>
      </c>
      <c r="S97" s="73">
        <v>44378</v>
      </c>
      <c r="T97" s="73">
        <v>44409</v>
      </c>
      <c r="U97" s="73">
        <v>44440</v>
      </c>
      <c r="V97" s="73">
        <v>44470</v>
      </c>
      <c r="W97" s="73">
        <v>44501</v>
      </c>
      <c r="X97" s="73">
        <v>44531</v>
      </c>
      <c r="Y97" s="73">
        <v>44562</v>
      </c>
      <c r="Z97" s="73">
        <v>44593</v>
      </c>
      <c r="AA97" s="73">
        <v>44621</v>
      </c>
      <c r="AB97" s="73">
        <v>44652</v>
      </c>
      <c r="AC97" s="73">
        <v>44682</v>
      </c>
      <c r="AD97" s="73">
        <v>44713</v>
      </c>
      <c r="AE97" s="73">
        <v>44743</v>
      </c>
      <c r="AF97" s="73">
        <v>44774</v>
      </c>
      <c r="AG97" s="73">
        <v>44805</v>
      </c>
      <c r="AH97" s="73">
        <v>44835</v>
      </c>
      <c r="AI97" s="73">
        <v>44866</v>
      </c>
      <c r="AJ97" s="73">
        <v>44896</v>
      </c>
      <c r="AK97" s="73">
        <v>44927</v>
      </c>
      <c r="AL97" s="73">
        <v>44958</v>
      </c>
      <c r="AM97" s="73">
        <v>44986</v>
      </c>
      <c r="AN97" s="73">
        <v>45017</v>
      </c>
      <c r="AO97" s="73">
        <v>45047</v>
      </c>
      <c r="AP97" s="73">
        <v>45078</v>
      </c>
      <c r="AQ97" s="73">
        <v>45108</v>
      </c>
      <c r="AR97" s="73">
        <v>45139</v>
      </c>
      <c r="AS97" s="73">
        <v>45170</v>
      </c>
      <c r="AT97" s="73">
        <v>45200</v>
      </c>
      <c r="AU97" s="73">
        <v>45231</v>
      </c>
      <c r="AV97" s="73">
        <v>45261</v>
      </c>
      <c r="AW97" s="73">
        <v>45292</v>
      </c>
      <c r="AX97" s="73">
        <v>45323</v>
      </c>
      <c r="AY97" s="73">
        <v>45352</v>
      </c>
    </row>
    <row r="98" spans="1:51" s="29" customFormat="1" ht="33.75" customHeight="1" x14ac:dyDescent="0.25">
      <c r="A98" s="68" t="s">
        <v>150</v>
      </c>
      <c r="C98" s="75"/>
      <c r="D98" s="75"/>
      <c r="E98" s="75"/>
      <c r="F98" s="75"/>
      <c r="G98" s="75"/>
      <c r="H98" s="75"/>
      <c r="I98" s="75"/>
      <c r="J98" s="75"/>
    </row>
    <row r="99" spans="1:51" s="13" customFormat="1" ht="12.75" x14ac:dyDescent="0.2">
      <c r="A99" s="59" t="s">
        <v>151</v>
      </c>
      <c r="C99" s="16"/>
      <c r="D99" s="16"/>
      <c r="E99" s="16"/>
      <c r="F99" s="16"/>
      <c r="G99" s="16"/>
      <c r="H99" s="16"/>
      <c r="I99" s="16"/>
      <c r="J99" s="16"/>
    </row>
    <row r="100" spans="1:51" s="220" customFormat="1" ht="38.25" x14ac:dyDescent="0.25">
      <c r="A100" s="221" t="s">
        <v>153</v>
      </c>
      <c r="B100" s="219"/>
      <c r="C100" s="219"/>
      <c r="D100" s="219" t="s">
        <v>173</v>
      </c>
      <c r="E100" s="219" t="s">
        <v>152</v>
      </c>
      <c r="F100" s="219" t="s">
        <v>154</v>
      </c>
      <c r="G100" s="219" t="s">
        <v>155</v>
      </c>
      <c r="H100" s="219"/>
      <c r="I100" s="219" t="s">
        <v>174</v>
      </c>
      <c r="J100" s="219" t="s">
        <v>156</v>
      </c>
      <c r="K100" s="219" t="s">
        <v>157</v>
      </c>
      <c r="L100" s="219" t="s">
        <v>157</v>
      </c>
      <c r="M100" s="219" t="s">
        <v>157</v>
      </c>
      <c r="N100" s="219" t="s">
        <v>157</v>
      </c>
      <c r="O100" s="219" t="s">
        <v>157</v>
      </c>
      <c r="P100" s="219" t="s">
        <v>157</v>
      </c>
      <c r="Q100" s="219" t="s">
        <v>157</v>
      </c>
      <c r="R100" s="219" t="s">
        <v>157</v>
      </c>
      <c r="S100" s="219" t="s">
        <v>158</v>
      </c>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row>
    <row r="101" spans="1:51" s="29" customFormat="1" ht="53.25" customHeight="1" x14ac:dyDescent="0.25">
      <c r="A101" s="68"/>
      <c r="C101" s="75"/>
      <c r="D101" s="75"/>
      <c r="E101" s="75"/>
      <c r="F101" s="75"/>
      <c r="G101" s="75"/>
      <c r="H101" s="75"/>
      <c r="I101" s="75"/>
      <c r="J101" s="75"/>
    </row>
    <row r="102" spans="1:51" s="29" customFormat="1" ht="33.75" customHeight="1" x14ac:dyDescent="0.25">
      <c r="A102" s="68" t="s">
        <v>44</v>
      </c>
      <c r="C102" s="75"/>
      <c r="D102" s="75"/>
      <c r="E102" s="75"/>
      <c r="F102" s="75"/>
      <c r="G102" s="75"/>
      <c r="H102" s="75"/>
      <c r="I102" s="75"/>
      <c r="J102" s="75"/>
    </row>
    <row r="103" spans="1:51" s="13" customFormat="1" ht="12.75" x14ac:dyDescent="0.2">
      <c r="A103" s="76" t="s">
        <v>193</v>
      </c>
      <c r="C103" s="16"/>
      <c r="D103" s="16"/>
      <c r="E103" s="16"/>
      <c r="F103" s="16"/>
      <c r="G103" s="16"/>
      <c r="H103" s="16"/>
      <c r="I103" s="16"/>
      <c r="J103" s="16"/>
    </row>
    <row r="104" spans="1:51" s="13" customFormat="1" ht="12.75" x14ac:dyDescent="0.2">
      <c r="A104" s="59" t="s">
        <v>55</v>
      </c>
      <c r="C104" s="16"/>
      <c r="D104" s="16"/>
      <c r="E104" s="16"/>
      <c r="F104" s="16"/>
      <c r="G104" s="16"/>
      <c r="H104" s="16"/>
      <c r="I104" s="16"/>
      <c r="J104" s="16"/>
    </row>
    <row r="105" spans="1:51" s="13" customFormat="1" ht="12.75" x14ac:dyDescent="0.2">
      <c r="A105" s="77" t="s">
        <v>50</v>
      </c>
      <c r="B105" s="77" t="s">
        <v>51</v>
      </c>
      <c r="C105" s="78">
        <f>SUM(D105:AY105)</f>
        <v>2529537.2292000004</v>
      </c>
      <c r="D105" s="79"/>
      <c r="E105" s="79"/>
      <c r="F105" s="79"/>
      <c r="G105" s="79"/>
      <c r="H105" s="79"/>
      <c r="I105" s="79"/>
      <c r="J105" s="79">
        <v>30000</v>
      </c>
      <c r="K105" s="79">
        <f>J105*110%</f>
        <v>33000</v>
      </c>
      <c r="L105" s="79">
        <f t="shared" ref="L105:R105" si="1">K105*110%</f>
        <v>36300</v>
      </c>
      <c r="M105" s="79">
        <f t="shared" si="1"/>
        <v>39930</v>
      </c>
      <c r="N105" s="79">
        <f t="shared" si="1"/>
        <v>43923</v>
      </c>
      <c r="O105" s="79">
        <f t="shared" si="1"/>
        <v>48315.3</v>
      </c>
      <c r="P105" s="79">
        <f t="shared" si="1"/>
        <v>53146.830000000009</v>
      </c>
      <c r="Q105" s="79">
        <f t="shared" si="1"/>
        <v>58461.513000000014</v>
      </c>
      <c r="R105" s="79">
        <f t="shared" si="1"/>
        <v>64307.664300000019</v>
      </c>
      <c r="S105" s="79">
        <f t="shared" ref="L105:AY106" si="2">R105</f>
        <v>64307.664300000019</v>
      </c>
      <c r="T105" s="79">
        <f t="shared" si="2"/>
        <v>64307.664300000019</v>
      </c>
      <c r="U105" s="79">
        <f t="shared" si="2"/>
        <v>64307.664300000019</v>
      </c>
      <c r="V105" s="79">
        <f t="shared" si="2"/>
        <v>64307.664300000019</v>
      </c>
      <c r="W105" s="79">
        <f t="shared" si="2"/>
        <v>64307.664300000019</v>
      </c>
      <c r="X105" s="79">
        <f t="shared" si="2"/>
        <v>64307.664300000019</v>
      </c>
      <c r="Y105" s="79">
        <f t="shared" si="2"/>
        <v>64307.664300000019</v>
      </c>
      <c r="Z105" s="79">
        <f t="shared" si="2"/>
        <v>64307.664300000019</v>
      </c>
      <c r="AA105" s="79">
        <f t="shared" si="2"/>
        <v>64307.664300000019</v>
      </c>
      <c r="AB105" s="79">
        <f t="shared" si="2"/>
        <v>64307.664300000019</v>
      </c>
      <c r="AC105" s="79">
        <f t="shared" si="2"/>
        <v>64307.664300000019</v>
      </c>
      <c r="AD105" s="79">
        <f t="shared" si="2"/>
        <v>64307.664300000019</v>
      </c>
      <c r="AE105" s="79">
        <f t="shared" si="2"/>
        <v>64307.664300000019</v>
      </c>
      <c r="AF105" s="79">
        <f t="shared" si="2"/>
        <v>64307.664300000019</v>
      </c>
      <c r="AG105" s="79">
        <f t="shared" si="2"/>
        <v>64307.664300000019</v>
      </c>
      <c r="AH105" s="79">
        <f t="shared" si="2"/>
        <v>64307.664300000019</v>
      </c>
      <c r="AI105" s="79">
        <f t="shared" si="2"/>
        <v>64307.664300000019</v>
      </c>
      <c r="AJ105" s="79">
        <f t="shared" si="2"/>
        <v>64307.664300000019</v>
      </c>
      <c r="AK105" s="79">
        <f t="shared" si="2"/>
        <v>64307.664300000019</v>
      </c>
      <c r="AL105" s="79">
        <f t="shared" si="2"/>
        <v>64307.664300000019</v>
      </c>
      <c r="AM105" s="79">
        <f t="shared" si="2"/>
        <v>64307.664300000019</v>
      </c>
      <c r="AN105" s="79">
        <f t="shared" si="2"/>
        <v>64307.664300000019</v>
      </c>
      <c r="AO105" s="79">
        <f t="shared" si="2"/>
        <v>64307.664300000019</v>
      </c>
      <c r="AP105" s="79">
        <f t="shared" si="2"/>
        <v>64307.664300000019</v>
      </c>
      <c r="AQ105" s="79">
        <f t="shared" si="2"/>
        <v>64307.664300000019</v>
      </c>
      <c r="AR105" s="79">
        <f t="shared" si="2"/>
        <v>64307.664300000019</v>
      </c>
      <c r="AS105" s="79">
        <f t="shared" si="2"/>
        <v>64307.664300000019</v>
      </c>
      <c r="AT105" s="79">
        <f t="shared" si="2"/>
        <v>64307.664300000019</v>
      </c>
      <c r="AU105" s="79">
        <f t="shared" si="2"/>
        <v>64307.664300000019</v>
      </c>
      <c r="AV105" s="79">
        <f t="shared" si="2"/>
        <v>64307.664300000019</v>
      </c>
      <c r="AW105" s="79">
        <f t="shared" si="2"/>
        <v>64307.664300000019</v>
      </c>
      <c r="AX105" s="79">
        <f t="shared" si="2"/>
        <v>64307.664300000019</v>
      </c>
      <c r="AY105" s="79">
        <f t="shared" si="2"/>
        <v>64307.664300000019</v>
      </c>
    </row>
    <row r="106" spans="1:51" s="13" customFormat="1" ht="12.75" x14ac:dyDescent="0.2">
      <c r="A106" s="77" t="s">
        <v>175</v>
      </c>
      <c r="B106" s="77" t="s">
        <v>53</v>
      </c>
      <c r="C106" s="80">
        <f>C107/C105</f>
        <v>0.21999999999999992</v>
      </c>
      <c r="D106" s="81"/>
      <c r="E106" s="81"/>
      <c r="F106" s="81"/>
      <c r="G106" s="81"/>
      <c r="H106" s="81"/>
      <c r="I106" s="81"/>
      <c r="J106" s="81">
        <v>0.22</v>
      </c>
      <c r="K106" s="81">
        <f>J106</f>
        <v>0.22</v>
      </c>
      <c r="L106" s="81">
        <f t="shared" si="2"/>
        <v>0.22</v>
      </c>
      <c r="M106" s="81">
        <f t="shared" si="2"/>
        <v>0.22</v>
      </c>
      <c r="N106" s="81">
        <f t="shared" si="2"/>
        <v>0.22</v>
      </c>
      <c r="O106" s="81">
        <f t="shared" si="2"/>
        <v>0.22</v>
      </c>
      <c r="P106" s="81">
        <f t="shared" si="2"/>
        <v>0.22</v>
      </c>
      <c r="Q106" s="81">
        <f t="shared" si="2"/>
        <v>0.22</v>
      </c>
      <c r="R106" s="81">
        <f t="shared" si="2"/>
        <v>0.22</v>
      </c>
      <c r="S106" s="81">
        <f t="shared" si="2"/>
        <v>0.22</v>
      </c>
      <c r="T106" s="81">
        <f t="shared" si="2"/>
        <v>0.22</v>
      </c>
      <c r="U106" s="81">
        <f t="shared" si="2"/>
        <v>0.22</v>
      </c>
      <c r="V106" s="81">
        <f t="shared" si="2"/>
        <v>0.22</v>
      </c>
      <c r="W106" s="81">
        <f t="shared" si="2"/>
        <v>0.22</v>
      </c>
      <c r="X106" s="81">
        <f t="shared" si="2"/>
        <v>0.22</v>
      </c>
      <c r="Y106" s="81">
        <f t="shared" si="2"/>
        <v>0.22</v>
      </c>
      <c r="Z106" s="81">
        <f t="shared" si="2"/>
        <v>0.22</v>
      </c>
      <c r="AA106" s="81">
        <f t="shared" si="2"/>
        <v>0.22</v>
      </c>
      <c r="AB106" s="81">
        <f t="shared" si="2"/>
        <v>0.22</v>
      </c>
      <c r="AC106" s="81">
        <f t="shared" si="2"/>
        <v>0.22</v>
      </c>
      <c r="AD106" s="81">
        <f t="shared" si="2"/>
        <v>0.22</v>
      </c>
      <c r="AE106" s="81">
        <f t="shared" si="2"/>
        <v>0.22</v>
      </c>
      <c r="AF106" s="81">
        <f t="shared" si="2"/>
        <v>0.22</v>
      </c>
      <c r="AG106" s="81">
        <f t="shared" si="2"/>
        <v>0.22</v>
      </c>
      <c r="AH106" s="81">
        <f t="shared" si="2"/>
        <v>0.22</v>
      </c>
      <c r="AI106" s="81">
        <f t="shared" si="2"/>
        <v>0.22</v>
      </c>
      <c r="AJ106" s="81">
        <f t="shared" si="2"/>
        <v>0.22</v>
      </c>
      <c r="AK106" s="81">
        <f t="shared" si="2"/>
        <v>0.22</v>
      </c>
      <c r="AL106" s="81">
        <f t="shared" si="2"/>
        <v>0.22</v>
      </c>
      <c r="AM106" s="81">
        <f t="shared" si="2"/>
        <v>0.22</v>
      </c>
      <c r="AN106" s="81">
        <f t="shared" si="2"/>
        <v>0.22</v>
      </c>
      <c r="AO106" s="81">
        <f t="shared" si="2"/>
        <v>0.22</v>
      </c>
      <c r="AP106" s="81">
        <f t="shared" si="2"/>
        <v>0.22</v>
      </c>
      <c r="AQ106" s="81">
        <f t="shared" si="2"/>
        <v>0.22</v>
      </c>
      <c r="AR106" s="81">
        <f t="shared" si="2"/>
        <v>0.22</v>
      </c>
      <c r="AS106" s="81">
        <f t="shared" si="2"/>
        <v>0.22</v>
      </c>
      <c r="AT106" s="81">
        <f t="shared" si="2"/>
        <v>0.22</v>
      </c>
      <c r="AU106" s="81">
        <f t="shared" si="2"/>
        <v>0.22</v>
      </c>
      <c r="AV106" s="81">
        <f t="shared" si="2"/>
        <v>0.22</v>
      </c>
      <c r="AW106" s="81">
        <f t="shared" si="2"/>
        <v>0.22</v>
      </c>
      <c r="AX106" s="81">
        <f t="shared" si="2"/>
        <v>0.22</v>
      </c>
      <c r="AY106" s="81">
        <f t="shared" si="2"/>
        <v>0.22</v>
      </c>
    </row>
    <row r="107" spans="1:51" s="13" customFormat="1" ht="12.75" x14ac:dyDescent="0.2">
      <c r="A107" s="82" t="s">
        <v>54</v>
      </c>
      <c r="B107" s="13" t="s">
        <v>52</v>
      </c>
      <c r="C107" s="78">
        <f>SUM(D107:AY107)</f>
        <v>556498.19042399991</v>
      </c>
      <c r="D107" s="83">
        <f t="shared" ref="D107:V107" si="3">D105*D106</f>
        <v>0</v>
      </c>
      <c r="E107" s="83">
        <f t="shared" si="3"/>
        <v>0</v>
      </c>
      <c r="F107" s="83">
        <f t="shared" si="3"/>
        <v>0</v>
      </c>
      <c r="G107" s="83">
        <f t="shared" si="3"/>
        <v>0</v>
      </c>
      <c r="H107" s="83">
        <f t="shared" si="3"/>
        <v>0</v>
      </c>
      <c r="I107" s="83">
        <f t="shared" si="3"/>
        <v>0</v>
      </c>
      <c r="J107" s="83">
        <f t="shared" si="3"/>
        <v>6600</v>
      </c>
      <c r="K107" s="83">
        <f t="shared" si="3"/>
        <v>7260</v>
      </c>
      <c r="L107" s="83">
        <f t="shared" si="3"/>
        <v>7986</v>
      </c>
      <c r="M107" s="83">
        <f t="shared" si="3"/>
        <v>8784.6</v>
      </c>
      <c r="N107" s="83">
        <f t="shared" si="3"/>
        <v>9663.06</v>
      </c>
      <c r="O107" s="83">
        <f t="shared" si="3"/>
        <v>10629.366</v>
      </c>
      <c r="P107" s="83">
        <f t="shared" si="3"/>
        <v>11692.302600000003</v>
      </c>
      <c r="Q107" s="83">
        <f t="shared" si="3"/>
        <v>12861.532860000003</v>
      </c>
      <c r="R107" s="83">
        <f t="shared" si="3"/>
        <v>14147.686146000004</v>
      </c>
      <c r="S107" s="83">
        <f t="shared" si="3"/>
        <v>14147.686146000004</v>
      </c>
      <c r="T107" s="83">
        <f t="shared" si="3"/>
        <v>14147.686146000004</v>
      </c>
      <c r="U107" s="83">
        <f t="shared" si="3"/>
        <v>14147.686146000004</v>
      </c>
      <c r="V107" s="83">
        <f t="shared" si="3"/>
        <v>14147.686146000004</v>
      </c>
      <c r="W107" s="83">
        <f t="shared" ref="W107:AJ107" si="4">W105*W106</f>
        <v>14147.686146000004</v>
      </c>
      <c r="X107" s="83">
        <f t="shared" si="4"/>
        <v>14147.686146000004</v>
      </c>
      <c r="Y107" s="83">
        <f t="shared" si="4"/>
        <v>14147.686146000004</v>
      </c>
      <c r="Z107" s="83">
        <f t="shared" si="4"/>
        <v>14147.686146000004</v>
      </c>
      <c r="AA107" s="83">
        <f t="shared" si="4"/>
        <v>14147.686146000004</v>
      </c>
      <c r="AB107" s="83">
        <f t="shared" si="4"/>
        <v>14147.686146000004</v>
      </c>
      <c r="AC107" s="83">
        <f t="shared" si="4"/>
        <v>14147.686146000004</v>
      </c>
      <c r="AD107" s="83">
        <f t="shared" si="4"/>
        <v>14147.686146000004</v>
      </c>
      <c r="AE107" s="83">
        <f t="shared" si="4"/>
        <v>14147.686146000004</v>
      </c>
      <c r="AF107" s="83">
        <f t="shared" si="4"/>
        <v>14147.686146000004</v>
      </c>
      <c r="AG107" s="83">
        <f t="shared" si="4"/>
        <v>14147.686146000004</v>
      </c>
      <c r="AH107" s="83">
        <f t="shared" si="4"/>
        <v>14147.686146000004</v>
      </c>
      <c r="AI107" s="83">
        <f t="shared" si="4"/>
        <v>14147.686146000004</v>
      </c>
      <c r="AJ107" s="83">
        <f t="shared" si="4"/>
        <v>14147.686146000004</v>
      </c>
      <c r="AK107" s="83">
        <f t="shared" ref="AK107:AY107" si="5">AK105*AK106</f>
        <v>14147.686146000004</v>
      </c>
      <c r="AL107" s="83">
        <f t="shared" si="5"/>
        <v>14147.686146000004</v>
      </c>
      <c r="AM107" s="83">
        <f t="shared" si="5"/>
        <v>14147.686146000004</v>
      </c>
      <c r="AN107" s="83">
        <f t="shared" si="5"/>
        <v>14147.686146000004</v>
      </c>
      <c r="AO107" s="83">
        <f t="shared" si="5"/>
        <v>14147.686146000004</v>
      </c>
      <c r="AP107" s="83">
        <f t="shared" si="5"/>
        <v>14147.686146000004</v>
      </c>
      <c r="AQ107" s="83">
        <f t="shared" si="5"/>
        <v>14147.686146000004</v>
      </c>
      <c r="AR107" s="83">
        <f t="shared" si="5"/>
        <v>14147.686146000004</v>
      </c>
      <c r="AS107" s="83">
        <f t="shared" si="5"/>
        <v>14147.686146000004</v>
      </c>
      <c r="AT107" s="83">
        <f t="shared" si="5"/>
        <v>14147.686146000004</v>
      </c>
      <c r="AU107" s="83">
        <f t="shared" si="5"/>
        <v>14147.686146000004</v>
      </c>
      <c r="AV107" s="83">
        <f t="shared" si="5"/>
        <v>14147.686146000004</v>
      </c>
      <c r="AW107" s="83">
        <f t="shared" si="5"/>
        <v>14147.686146000004</v>
      </c>
      <c r="AX107" s="83">
        <f t="shared" si="5"/>
        <v>14147.686146000004</v>
      </c>
      <c r="AY107" s="83">
        <f t="shared" si="5"/>
        <v>14147.686146000004</v>
      </c>
    </row>
    <row r="108" spans="1:51" s="13" customFormat="1" ht="12.75" x14ac:dyDescent="0.2">
      <c r="A108" s="84"/>
      <c r="C108" s="78"/>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row>
    <row r="109" spans="1:51" s="13" customFormat="1" ht="12.75" x14ac:dyDescent="0.2">
      <c r="A109" s="260" t="s">
        <v>194</v>
      </c>
      <c r="C109" s="16"/>
      <c r="D109" s="16"/>
      <c r="E109" s="16"/>
      <c r="F109" s="16"/>
      <c r="G109" s="16"/>
      <c r="H109" s="16"/>
      <c r="I109" s="16"/>
      <c r="J109" s="16"/>
    </row>
    <row r="110" spans="1:51" s="13" customFormat="1" ht="12.75" x14ac:dyDescent="0.2">
      <c r="A110" s="59" t="s">
        <v>57</v>
      </c>
      <c r="C110" s="16"/>
      <c r="D110" s="16"/>
      <c r="E110" s="16"/>
      <c r="F110" s="16"/>
      <c r="G110" s="16"/>
      <c r="H110" s="16"/>
      <c r="I110" s="16"/>
      <c r="J110" s="16"/>
    </row>
    <row r="111" spans="1:51" s="13" customFormat="1" ht="12.75" x14ac:dyDescent="0.2">
      <c r="A111" s="86" t="s">
        <v>26</v>
      </c>
      <c r="B111" s="13" t="s">
        <v>52</v>
      </c>
      <c r="C111" s="87">
        <f>SUM(D111:AY111)</f>
        <v>556498.19042399991</v>
      </c>
      <c r="D111" s="88">
        <f t="shared" ref="D111:AY111" si="6">D105*D106</f>
        <v>0</v>
      </c>
      <c r="E111" s="88">
        <f t="shared" si="6"/>
        <v>0</v>
      </c>
      <c r="F111" s="88">
        <f t="shared" si="6"/>
        <v>0</v>
      </c>
      <c r="G111" s="88">
        <f t="shared" si="6"/>
        <v>0</v>
      </c>
      <c r="H111" s="88">
        <f t="shared" si="6"/>
        <v>0</v>
      </c>
      <c r="I111" s="88">
        <f t="shared" si="6"/>
        <v>0</v>
      </c>
      <c r="J111" s="88">
        <f t="shared" si="6"/>
        <v>6600</v>
      </c>
      <c r="K111" s="88">
        <f t="shared" si="6"/>
        <v>7260</v>
      </c>
      <c r="L111" s="88">
        <f t="shared" si="6"/>
        <v>7986</v>
      </c>
      <c r="M111" s="88">
        <f t="shared" si="6"/>
        <v>8784.6</v>
      </c>
      <c r="N111" s="88">
        <f t="shared" si="6"/>
        <v>9663.06</v>
      </c>
      <c r="O111" s="88">
        <f t="shared" si="6"/>
        <v>10629.366</v>
      </c>
      <c r="P111" s="88">
        <f t="shared" si="6"/>
        <v>11692.302600000003</v>
      </c>
      <c r="Q111" s="88">
        <f t="shared" si="6"/>
        <v>12861.532860000003</v>
      </c>
      <c r="R111" s="88">
        <f t="shared" si="6"/>
        <v>14147.686146000004</v>
      </c>
      <c r="S111" s="88">
        <f t="shared" si="6"/>
        <v>14147.686146000004</v>
      </c>
      <c r="T111" s="88">
        <f t="shared" si="6"/>
        <v>14147.686146000004</v>
      </c>
      <c r="U111" s="88">
        <f t="shared" si="6"/>
        <v>14147.686146000004</v>
      </c>
      <c r="V111" s="88">
        <f t="shared" si="6"/>
        <v>14147.686146000004</v>
      </c>
      <c r="W111" s="88">
        <f t="shared" si="6"/>
        <v>14147.686146000004</v>
      </c>
      <c r="X111" s="88">
        <f t="shared" si="6"/>
        <v>14147.686146000004</v>
      </c>
      <c r="Y111" s="88">
        <f t="shared" si="6"/>
        <v>14147.686146000004</v>
      </c>
      <c r="Z111" s="88">
        <f t="shared" si="6"/>
        <v>14147.686146000004</v>
      </c>
      <c r="AA111" s="88">
        <f t="shared" si="6"/>
        <v>14147.686146000004</v>
      </c>
      <c r="AB111" s="88">
        <f t="shared" si="6"/>
        <v>14147.686146000004</v>
      </c>
      <c r="AC111" s="88">
        <f t="shared" si="6"/>
        <v>14147.686146000004</v>
      </c>
      <c r="AD111" s="88">
        <f t="shared" si="6"/>
        <v>14147.686146000004</v>
      </c>
      <c r="AE111" s="88">
        <f t="shared" si="6"/>
        <v>14147.686146000004</v>
      </c>
      <c r="AF111" s="88">
        <f t="shared" si="6"/>
        <v>14147.686146000004</v>
      </c>
      <c r="AG111" s="88">
        <f t="shared" si="6"/>
        <v>14147.686146000004</v>
      </c>
      <c r="AH111" s="88">
        <f t="shared" si="6"/>
        <v>14147.686146000004</v>
      </c>
      <c r="AI111" s="88">
        <f t="shared" si="6"/>
        <v>14147.686146000004</v>
      </c>
      <c r="AJ111" s="88">
        <f t="shared" si="6"/>
        <v>14147.686146000004</v>
      </c>
      <c r="AK111" s="88">
        <f t="shared" si="6"/>
        <v>14147.686146000004</v>
      </c>
      <c r="AL111" s="88">
        <f t="shared" si="6"/>
        <v>14147.686146000004</v>
      </c>
      <c r="AM111" s="88">
        <f t="shared" si="6"/>
        <v>14147.686146000004</v>
      </c>
      <c r="AN111" s="88">
        <f t="shared" si="6"/>
        <v>14147.686146000004</v>
      </c>
      <c r="AO111" s="88">
        <f t="shared" si="6"/>
        <v>14147.686146000004</v>
      </c>
      <c r="AP111" s="88">
        <f t="shared" si="6"/>
        <v>14147.686146000004</v>
      </c>
      <c r="AQ111" s="88">
        <f t="shared" si="6"/>
        <v>14147.686146000004</v>
      </c>
      <c r="AR111" s="88">
        <f t="shared" si="6"/>
        <v>14147.686146000004</v>
      </c>
      <c r="AS111" s="88">
        <f t="shared" si="6"/>
        <v>14147.686146000004</v>
      </c>
      <c r="AT111" s="88">
        <f t="shared" si="6"/>
        <v>14147.686146000004</v>
      </c>
      <c r="AU111" s="88">
        <f t="shared" si="6"/>
        <v>14147.686146000004</v>
      </c>
      <c r="AV111" s="88">
        <f t="shared" si="6"/>
        <v>14147.686146000004</v>
      </c>
      <c r="AW111" s="88">
        <f t="shared" si="6"/>
        <v>14147.686146000004</v>
      </c>
      <c r="AX111" s="88">
        <f t="shared" si="6"/>
        <v>14147.686146000004</v>
      </c>
      <c r="AY111" s="88">
        <f t="shared" si="6"/>
        <v>14147.686146000004</v>
      </c>
    </row>
    <row r="112" spans="1:51" s="13" customFormat="1" ht="41.25" customHeight="1" x14ac:dyDescent="0.2">
      <c r="A112" s="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row>
    <row r="113" spans="1:51" s="29" customFormat="1" ht="33.75" customHeight="1" x14ac:dyDescent="0.25">
      <c r="A113" s="68" t="s">
        <v>8</v>
      </c>
      <c r="C113" s="75"/>
      <c r="D113" s="75"/>
      <c r="E113" s="75"/>
      <c r="F113" s="75"/>
      <c r="G113" s="75"/>
      <c r="H113" s="75"/>
      <c r="I113" s="75"/>
      <c r="J113" s="75"/>
    </row>
    <row r="114" spans="1:51" s="13" customFormat="1" ht="12.75" x14ac:dyDescent="0.2">
      <c r="A114" s="76" t="s">
        <v>192</v>
      </c>
      <c r="B114" s="89"/>
      <c r="C114" s="15"/>
      <c r="D114" s="16"/>
      <c r="E114" s="16"/>
      <c r="F114" s="16"/>
      <c r="G114" s="16"/>
      <c r="H114" s="16"/>
      <c r="I114" s="16"/>
      <c r="J114" s="16"/>
    </row>
    <row r="115" spans="1:51" s="13" customFormat="1" ht="12.75" x14ac:dyDescent="0.2">
      <c r="A115" s="59" t="s">
        <v>58</v>
      </c>
      <c r="C115" s="16"/>
      <c r="D115" s="16"/>
      <c r="E115" s="16"/>
      <c r="F115" s="16"/>
      <c r="G115" s="16"/>
      <c r="H115" s="16"/>
      <c r="I115" s="16"/>
      <c r="J115" s="16"/>
    </row>
    <row r="116" spans="1:51" s="13" customFormat="1" ht="12.75" x14ac:dyDescent="0.2">
      <c r="A116" s="77" t="s">
        <v>59</v>
      </c>
      <c r="B116" s="77" t="s">
        <v>52</v>
      </c>
      <c r="C116" s="78">
        <f t="shared" ref="C116:C122" si="7">SUM(D116:AY116)</f>
        <v>4000</v>
      </c>
      <c r="D116" s="79"/>
      <c r="E116" s="79"/>
      <c r="F116" s="79">
        <v>4000</v>
      </c>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row>
    <row r="117" spans="1:51" s="13" customFormat="1" ht="12.75" x14ac:dyDescent="0.2">
      <c r="A117" s="77" t="s">
        <v>60</v>
      </c>
      <c r="B117" s="77" t="s">
        <v>52</v>
      </c>
      <c r="C117" s="78">
        <f t="shared" si="7"/>
        <v>7000</v>
      </c>
      <c r="D117" s="79"/>
      <c r="E117" s="79"/>
      <c r="F117" s="79"/>
      <c r="G117" s="79">
        <v>7000</v>
      </c>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row>
    <row r="118" spans="1:51" s="13" customFormat="1" ht="12.75" x14ac:dyDescent="0.2">
      <c r="A118" s="77" t="s">
        <v>61</v>
      </c>
      <c r="B118" s="77" t="s">
        <v>52</v>
      </c>
      <c r="C118" s="78">
        <f t="shared" si="7"/>
        <v>18000</v>
      </c>
      <c r="D118" s="79"/>
      <c r="E118" s="79"/>
      <c r="F118" s="79"/>
      <c r="G118" s="79">
        <v>6000</v>
      </c>
      <c r="H118" s="79">
        <v>6000</v>
      </c>
      <c r="I118" s="79">
        <v>6000</v>
      </c>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row>
    <row r="119" spans="1:51" s="13" customFormat="1" ht="12.75" x14ac:dyDescent="0.2">
      <c r="A119" s="77" t="s">
        <v>63</v>
      </c>
      <c r="B119" s="77" t="s">
        <v>52</v>
      </c>
      <c r="C119" s="78">
        <f t="shared" si="7"/>
        <v>3000</v>
      </c>
      <c r="D119" s="79"/>
      <c r="E119" s="79"/>
      <c r="F119" s="79"/>
      <c r="G119" s="79"/>
      <c r="H119" s="79"/>
      <c r="I119" s="79">
        <v>3000</v>
      </c>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row>
    <row r="120" spans="1:51" s="13" customFormat="1" ht="12.75" x14ac:dyDescent="0.2">
      <c r="A120" s="77" t="s">
        <v>62</v>
      </c>
      <c r="B120" s="77" t="s">
        <v>52</v>
      </c>
      <c r="C120" s="78">
        <f t="shared" si="7"/>
        <v>10000</v>
      </c>
      <c r="D120" s="79"/>
      <c r="E120" s="79">
        <v>5000</v>
      </c>
      <c r="F120" s="79">
        <v>5000</v>
      </c>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row>
    <row r="121" spans="1:51" s="13" customFormat="1" ht="12.75" x14ac:dyDescent="0.2">
      <c r="A121" s="77" t="s">
        <v>195</v>
      </c>
      <c r="B121" s="77" t="s">
        <v>52</v>
      </c>
      <c r="C121" s="78">
        <f t="shared" si="7"/>
        <v>39000</v>
      </c>
      <c r="D121" s="79"/>
      <c r="E121" s="79"/>
      <c r="F121" s="79"/>
      <c r="G121" s="79"/>
      <c r="H121" s="79"/>
      <c r="I121" s="79"/>
      <c r="J121" s="79"/>
      <c r="K121" s="79">
        <v>1000</v>
      </c>
      <c r="L121" s="79">
        <v>1000</v>
      </c>
      <c r="M121" s="79">
        <v>1000</v>
      </c>
      <c r="N121" s="79">
        <v>1000</v>
      </c>
      <c r="O121" s="79">
        <v>1000</v>
      </c>
      <c r="P121" s="79">
        <v>1000</v>
      </c>
      <c r="Q121" s="79">
        <v>1000</v>
      </c>
      <c r="R121" s="79">
        <v>1000</v>
      </c>
      <c r="S121" s="79">
        <v>1000</v>
      </c>
      <c r="T121" s="79">
        <v>1000</v>
      </c>
      <c r="U121" s="79">
        <v>1000</v>
      </c>
      <c r="V121" s="79">
        <v>1000</v>
      </c>
      <c r="W121" s="79">
        <v>1000</v>
      </c>
      <c r="X121" s="79">
        <v>1000</v>
      </c>
      <c r="Y121" s="79">
        <v>1000</v>
      </c>
      <c r="Z121" s="79">
        <v>1000</v>
      </c>
      <c r="AA121" s="79">
        <v>1000</v>
      </c>
      <c r="AB121" s="79">
        <v>1000</v>
      </c>
      <c r="AC121" s="79">
        <v>1000</v>
      </c>
      <c r="AD121" s="79">
        <v>1000</v>
      </c>
      <c r="AE121" s="79">
        <v>1000</v>
      </c>
      <c r="AF121" s="79">
        <v>1000</v>
      </c>
      <c r="AG121" s="79">
        <v>1000</v>
      </c>
      <c r="AH121" s="79">
        <v>1000</v>
      </c>
      <c r="AI121" s="79">
        <v>1000</v>
      </c>
      <c r="AJ121" s="79">
        <v>1000</v>
      </c>
      <c r="AK121" s="79">
        <v>1000</v>
      </c>
      <c r="AL121" s="79">
        <v>1000</v>
      </c>
      <c r="AM121" s="79">
        <v>1000</v>
      </c>
      <c r="AN121" s="79">
        <v>1000</v>
      </c>
      <c r="AO121" s="79">
        <v>1000</v>
      </c>
      <c r="AP121" s="79">
        <v>1000</v>
      </c>
      <c r="AQ121" s="79">
        <v>1000</v>
      </c>
      <c r="AR121" s="79">
        <v>1000</v>
      </c>
      <c r="AS121" s="79">
        <v>1000</v>
      </c>
      <c r="AT121" s="79">
        <v>1000</v>
      </c>
      <c r="AU121" s="79">
        <v>1000</v>
      </c>
      <c r="AV121" s="79">
        <v>1000</v>
      </c>
      <c r="AW121" s="79">
        <v>1000</v>
      </c>
      <c r="AX121" s="79"/>
      <c r="AY121" s="79"/>
    </row>
    <row r="122" spans="1:51" s="13" customFormat="1" ht="12.75" x14ac:dyDescent="0.2">
      <c r="A122" s="15" t="s">
        <v>8</v>
      </c>
      <c r="B122" s="13" t="s">
        <v>52</v>
      </c>
      <c r="C122" s="78">
        <f t="shared" si="7"/>
        <v>81000</v>
      </c>
      <c r="D122" s="78">
        <f t="shared" ref="D122:AY122" si="8">SUM(D116:D121)</f>
        <v>0</v>
      </c>
      <c r="E122" s="78">
        <f t="shared" si="8"/>
        <v>5000</v>
      </c>
      <c r="F122" s="78">
        <f t="shared" si="8"/>
        <v>9000</v>
      </c>
      <c r="G122" s="78">
        <f t="shared" si="8"/>
        <v>13000</v>
      </c>
      <c r="H122" s="78">
        <f t="shared" si="8"/>
        <v>6000</v>
      </c>
      <c r="I122" s="78">
        <f t="shared" si="8"/>
        <v>9000</v>
      </c>
      <c r="J122" s="78">
        <f t="shared" si="8"/>
        <v>0</v>
      </c>
      <c r="K122" s="78">
        <f t="shared" si="8"/>
        <v>1000</v>
      </c>
      <c r="L122" s="78">
        <f t="shared" si="8"/>
        <v>1000</v>
      </c>
      <c r="M122" s="78">
        <f t="shared" si="8"/>
        <v>1000</v>
      </c>
      <c r="N122" s="78">
        <f t="shared" si="8"/>
        <v>1000</v>
      </c>
      <c r="O122" s="78">
        <f t="shared" si="8"/>
        <v>1000</v>
      </c>
      <c r="P122" s="78">
        <f t="shared" si="8"/>
        <v>1000</v>
      </c>
      <c r="Q122" s="78">
        <f t="shared" si="8"/>
        <v>1000</v>
      </c>
      <c r="R122" s="78">
        <f t="shared" si="8"/>
        <v>1000</v>
      </c>
      <c r="S122" s="78">
        <f t="shared" si="8"/>
        <v>1000</v>
      </c>
      <c r="T122" s="78">
        <f t="shared" si="8"/>
        <v>1000</v>
      </c>
      <c r="U122" s="78">
        <f t="shared" si="8"/>
        <v>1000</v>
      </c>
      <c r="V122" s="78">
        <f t="shared" si="8"/>
        <v>1000</v>
      </c>
      <c r="W122" s="78">
        <f t="shared" si="8"/>
        <v>1000</v>
      </c>
      <c r="X122" s="78">
        <f t="shared" si="8"/>
        <v>1000</v>
      </c>
      <c r="Y122" s="78">
        <f t="shared" si="8"/>
        <v>1000</v>
      </c>
      <c r="Z122" s="78">
        <f t="shared" si="8"/>
        <v>1000</v>
      </c>
      <c r="AA122" s="78">
        <f t="shared" si="8"/>
        <v>1000</v>
      </c>
      <c r="AB122" s="78">
        <f t="shared" si="8"/>
        <v>1000</v>
      </c>
      <c r="AC122" s="78">
        <f t="shared" si="8"/>
        <v>1000</v>
      </c>
      <c r="AD122" s="78">
        <f t="shared" si="8"/>
        <v>1000</v>
      </c>
      <c r="AE122" s="78">
        <f t="shared" si="8"/>
        <v>1000</v>
      </c>
      <c r="AF122" s="78">
        <f t="shared" si="8"/>
        <v>1000</v>
      </c>
      <c r="AG122" s="78">
        <f t="shared" si="8"/>
        <v>1000</v>
      </c>
      <c r="AH122" s="78">
        <f t="shared" si="8"/>
        <v>1000</v>
      </c>
      <c r="AI122" s="78">
        <f t="shared" si="8"/>
        <v>1000</v>
      </c>
      <c r="AJ122" s="78">
        <f t="shared" si="8"/>
        <v>1000</v>
      </c>
      <c r="AK122" s="78">
        <f t="shared" si="8"/>
        <v>1000</v>
      </c>
      <c r="AL122" s="78">
        <f t="shared" si="8"/>
        <v>1000</v>
      </c>
      <c r="AM122" s="78">
        <f t="shared" si="8"/>
        <v>1000</v>
      </c>
      <c r="AN122" s="78">
        <f t="shared" si="8"/>
        <v>1000</v>
      </c>
      <c r="AO122" s="78">
        <f t="shared" si="8"/>
        <v>1000</v>
      </c>
      <c r="AP122" s="78">
        <f t="shared" si="8"/>
        <v>1000</v>
      </c>
      <c r="AQ122" s="78">
        <f t="shared" si="8"/>
        <v>1000</v>
      </c>
      <c r="AR122" s="78">
        <f t="shared" si="8"/>
        <v>1000</v>
      </c>
      <c r="AS122" s="78">
        <f t="shared" si="8"/>
        <v>1000</v>
      </c>
      <c r="AT122" s="78">
        <f t="shared" si="8"/>
        <v>1000</v>
      </c>
      <c r="AU122" s="78">
        <f t="shared" si="8"/>
        <v>1000</v>
      </c>
      <c r="AV122" s="78">
        <f t="shared" si="8"/>
        <v>1000</v>
      </c>
      <c r="AW122" s="78">
        <f t="shared" si="8"/>
        <v>1000</v>
      </c>
      <c r="AX122" s="78">
        <f t="shared" si="8"/>
        <v>0</v>
      </c>
      <c r="AY122" s="78">
        <f t="shared" si="8"/>
        <v>0</v>
      </c>
    </row>
    <row r="123" spans="1:51" s="13" customFormat="1" ht="41.25" customHeight="1" x14ac:dyDescent="0.2">
      <c r="A123" s="15"/>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row>
    <row r="124" spans="1:51" s="29" customFormat="1" ht="33.75" customHeight="1" x14ac:dyDescent="0.25">
      <c r="A124" s="68" t="s">
        <v>9</v>
      </c>
      <c r="C124" s="75"/>
      <c r="D124" s="75"/>
      <c r="E124" s="75"/>
      <c r="F124" s="75"/>
      <c r="G124" s="75"/>
      <c r="H124" s="75"/>
      <c r="I124" s="75"/>
      <c r="J124" s="75"/>
    </row>
    <row r="125" spans="1:51" s="67" customFormat="1" ht="28.9" customHeight="1" x14ac:dyDescent="0.2">
      <c r="A125" s="67" t="str">
        <f t="shared" ref="A125:J125" si="9">A$97</f>
        <v>Months --&gt;</v>
      </c>
      <c r="B125" s="67" t="str">
        <f t="shared" si="9"/>
        <v>units</v>
      </c>
      <c r="C125" s="67" t="str">
        <f t="shared" si="9"/>
        <v>Total</v>
      </c>
      <c r="D125" s="90">
        <f t="shared" si="9"/>
        <v>43922</v>
      </c>
      <c r="E125" s="90">
        <f t="shared" si="9"/>
        <v>43952</v>
      </c>
      <c r="F125" s="90">
        <f t="shared" si="9"/>
        <v>43983</v>
      </c>
      <c r="G125" s="90">
        <f t="shared" si="9"/>
        <v>44013</v>
      </c>
      <c r="H125" s="90">
        <f t="shared" si="9"/>
        <v>44044</v>
      </c>
      <c r="I125" s="90">
        <f t="shared" si="9"/>
        <v>44075</v>
      </c>
      <c r="J125" s="90">
        <f t="shared" si="9"/>
        <v>44105</v>
      </c>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row>
    <row r="126" spans="1:51" s="13" customFormat="1" ht="12.75" x14ac:dyDescent="0.2">
      <c r="A126" s="76" t="s">
        <v>188</v>
      </c>
      <c r="C126" s="16"/>
      <c r="D126" s="16"/>
      <c r="E126" s="16"/>
      <c r="F126" s="16"/>
      <c r="G126" s="16"/>
      <c r="H126" s="16"/>
      <c r="I126" s="16"/>
      <c r="J126" s="16"/>
    </row>
    <row r="127" spans="1:51" s="13" customFormat="1" ht="12.75" x14ac:dyDescent="0.2">
      <c r="A127" s="59" t="s">
        <v>159</v>
      </c>
      <c r="C127" s="16"/>
      <c r="D127" s="16"/>
      <c r="E127" s="16"/>
      <c r="F127" s="16"/>
      <c r="G127" s="16"/>
      <c r="H127" s="16"/>
      <c r="I127" s="16"/>
      <c r="J127" s="16"/>
    </row>
    <row r="128" spans="1:51" s="82" customFormat="1" ht="12.75" x14ac:dyDescent="0.2">
      <c r="A128" s="82" t="str">
        <f>A105</f>
        <v>sales of organic fertiliser</v>
      </c>
      <c r="B128" s="84" t="str">
        <f>B105</f>
        <v>kilograms</v>
      </c>
      <c r="C128" s="78">
        <f>SUM(D128:AY128)</f>
        <v>2529537.2292000004</v>
      </c>
      <c r="D128" s="78">
        <f t="shared" ref="D128:AY128" si="10">D105</f>
        <v>0</v>
      </c>
      <c r="E128" s="78">
        <f t="shared" si="10"/>
        <v>0</v>
      </c>
      <c r="F128" s="78">
        <f t="shared" si="10"/>
        <v>0</v>
      </c>
      <c r="G128" s="78">
        <f t="shared" si="10"/>
        <v>0</v>
      </c>
      <c r="H128" s="78">
        <f t="shared" si="10"/>
        <v>0</v>
      </c>
      <c r="I128" s="78">
        <f t="shared" si="10"/>
        <v>0</v>
      </c>
      <c r="J128" s="78">
        <f t="shared" si="10"/>
        <v>30000</v>
      </c>
      <c r="K128" s="78">
        <f t="shared" si="10"/>
        <v>33000</v>
      </c>
      <c r="L128" s="78">
        <f t="shared" si="10"/>
        <v>36300</v>
      </c>
      <c r="M128" s="78">
        <f t="shared" si="10"/>
        <v>39930</v>
      </c>
      <c r="N128" s="78">
        <f t="shared" si="10"/>
        <v>43923</v>
      </c>
      <c r="O128" s="78">
        <f t="shared" si="10"/>
        <v>48315.3</v>
      </c>
      <c r="P128" s="78">
        <f t="shared" si="10"/>
        <v>53146.830000000009</v>
      </c>
      <c r="Q128" s="78">
        <f t="shared" si="10"/>
        <v>58461.513000000014</v>
      </c>
      <c r="R128" s="78">
        <f t="shared" si="10"/>
        <v>64307.664300000019</v>
      </c>
      <c r="S128" s="78">
        <f t="shared" si="10"/>
        <v>64307.664300000019</v>
      </c>
      <c r="T128" s="78">
        <f t="shared" si="10"/>
        <v>64307.664300000019</v>
      </c>
      <c r="U128" s="78">
        <f t="shared" si="10"/>
        <v>64307.664300000019</v>
      </c>
      <c r="V128" s="78">
        <f t="shared" si="10"/>
        <v>64307.664300000019</v>
      </c>
      <c r="W128" s="78">
        <f t="shared" si="10"/>
        <v>64307.664300000019</v>
      </c>
      <c r="X128" s="78">
        <f t="shared" si="10"/>
        <v>64307.664300000019</v>
      </c>
      <c r="Y128" s="78">
        <f t="shared" si="10"/>
        <v>64307.664300000019</v>
      </c>
      <c r="Z128" s="78">
        <f t="shared" si="10"/>
        <v>64307.664300000019</v>
      </c>
      <c r="AA128" s="78">
        <f t="shared" si="10"/>
        <v>64307.664300000019</v>
      </c>
      <c r="AB128" s="78">
        <f t="shared" si="10"/>
        <v>64307.664300000019</v>
      </c>
      <c r="AC128" s="78">
        <f t="shared" si="10"/>
        <v>64307.664300000019</v>
      </c>
      <c r="AD128" s="78">
        <f t="shared" si="10"/>
        <v>64307.664300000019</v>
      </c>
      <c r="AE128" s="78">
        <f t="shared" si="10"/>
        <v>64307.664300000019</v>
      </c>
      <c r="AF128" s="78">
        <f t="shared" si="10"/>
        <v>64307.664300000019</v>
      </c>
      <c r="AG128" s="78">
        <f t="shared" si="10"/>
        <v>64307.664300000019</v>
      </c>
      <c r="AH128" s="78">
        <f t="shared" si="10"/>
        <v>64307.664300000019</v>
      </c>
      <c r="AI128" s="78">
        <f t="shared" si="10"/>
        <v>64307.664300000019</v>
      </c>
      <c r="AJ128" s="78">
        <f t="shared" si="10"/>
        <v>64307.664300000019</v>
      </c>
      <c r="AK128" s="78">
        <f t="shared" si="10"/>
        <v>64307.664300000019</v>
      </c>
      <c r="AL128" s="78">
        <f t="shared" si="10"/>
        <v>64307.664300000019</v>
      </c>
      <c r="AM128" s="78">
        <f t="shared" si="10"/>
        <v>64307.664300000019</v>
      </c>
      <c r="AN128" s="78">
        <f t="shared" si="10"/>
        <v>64307.664300000019</v>
      </c>
      <c r="AO128" s="78">
        <f t="shared" si="10"/>
        <v>64307.664300000019</v>
      </c>
      <c r="AP128" s="78">
        <f t="shared" si="10"/>
        <v>64307.664300000019</v>
      </c>
      <c r="AQ128" s="78">
        <f t="shared" si="10"/>
        <v>64307.664300000019</v>
      </c>
      <c r="AR128" s="78">
        <f t="shared" si="10"/>
        <v>64307.664300000019</v>
      </c>
      <c r="AS128" s="78">
        <f t="shared" si="10"/>
        <v>64307.664300000019</v>
      </c>
      <c r="AT128" s="78">
        <f t="shared" si="10"/>
        <v>64307.664300000019</v>
      </c>
      <c r="AU128" s="78">
        <f t="shared" si="10"/>
        <v>64307.664300000019</v>
      </c>
      <c r="AV128" s="78">
        <f t="shared" si="10"/>
        <v>64307.664300000019</v>
      </c>
      <c r="AW128" s="78">
        <f t="shared" si="10"/>
        <v>64307.664300000019</v>
      </c>
      <c r="AX128" s="78">
        <f t="shared" si="10"/>
        <v>64307.664300000019</v>
      </c>
      <c r="AY128" s="78">
        <f t="shared" si="10"/>
        <v>64307.664300000019</v>
      </c>
    </row>
    <row r="129" spans="1:51" s="13" customFormat="1" ht="12.75" x14ac:dyDescent="0.2">
      <c r="A129" s="91" t="s">
        <v>48</v>
      </c>
      <c r="B129" s="91" t="s">
        <v>45</v>
      </c>
      <c r="C129" s="78"/>
      <c r="D129" s="92"/>
      <c r="E129" s="92"/>
      <c r="F129" s="92"/>
      <c r="G129" s="92"/>
      <c r="H129" s="92"/>
      <c r="I129" s="92">
        <v>21</v>
      </c>
      <c r="J129" s="92">
        <f>I129</f>
        <v>21</v>
      </c>
      <c r="K129" s="92">
        <f t="shared" ref="K129" si="11">J129</f>
        <v>21</v>
      </c>
      <c r="L129" s="92">
        <f t="shared" ref="L129" si="12">K129</f>
        <v>21</v>
      </c>
      <c r="M129" s="92">
        <f t="shared" ref="M129" si="13">L129</f>
        <v>21</v>
      </c>
      <c r="N129" s="92">
        <f t="shared" ref="N129" si="14">M129</f>
        <v>21</v>
      </c>
      <c r="O129" s="92">
        <f t="shared" ref="O129" si="15">N129</f>
        <v>21</v>
      </c>
      <c r="P129" s="92">
        <f t="shared" ref="P129" si="16">O129</f>
        <v>21</v>
      </c>
      <c r="Q129" s="92">
        <f t="shared" ref="Q129" si="17">P129</f>
        <v>21</v>
      </c>
      <c r="R129" s="92">
        <f t="shared" ref="R129" si="18">Q129</f>
        <v>21</v>
      </c>
      <c r="S129" s="92">
        <f t="shared" ref="S129" si="19">R129</f>
        <v>21</v>
      </c>
      <c r="T129" s="92">
        <f t="shared" ref="T129" si="20">S129</f>
        <v>21</v>
      </c>
      <c r="U129" s="92">
        <f t="shared" ref="U129" si="21">T129</f>
        <v>21</v>
      </c>
      <c r="V129" s="92">
        <f t="shared" ref="V129" si="22">U129</f>
        <v>21</v>
      </c>
      <c r="W129" s="92">
        <f t="shared" ref="W129" si="23">V129</f>
        <v>21</v>
      </c>
      <c r="X129" s="92">
        <f t="shared" ref="X129" si="24">W129</f>
        <v>21</v>
      </c>
      <c r="Y129" s="92">
        <f t="shared" ref="Y129" si="25">X129</f>
        <v>21</v>
      </c>
      <c r="Z129" s="92">
        <f t="shared" ref="Z129" si="26">Y129</f>
        <v>21</v>
      </c>
      <c r="AA129" s="92">
        <f t="shared" ref="AA129" si="27">Z129</f>
        <v>21</v>
      </c>
      <c r="AB129" s="92">
        <f t="shared" ref="AB129" si="28">AA129</f>
        <v>21</v>
      </c>
      <c r="AC129" s="92">
        <f t="shared" ref="AC129" si="29">AB129</f>
        <v>21</v>
      </c>
      <c r="AD129" s="92">
        <f t="shared" ref="AD129" si="30">AC129</f>
        <v>21</v>
      </c>
      <c r="AE129" s="92">
        <f t="shared" ref="AE129" si="31">AD129</f>
        <v>21</v>
      </c>
      <c r="AF129" s="92">
        <f t="shared" ref="AF129" si="32">AE129</f>
        <v>21</v>
      </c>
      <c r="AG129" s="92">
        <f t="shared" ref="AG129" si="33">AF129</f>
        <v>21</v>
      </c>
      <c r="AH129" s="92">
        <f t="shared" ref="AH129" si="34">AG129</f>
        <v>21</v>
      </c>
      <c r="AI129" s="92">
        <f t="shared" ref="AI129" si="35">AH129</f>
        <v>21</v>
      </c>
      <c r="AJ129" s="92">
        <f t="shared" ref="AJ129" si="36">AI129</f>
        <v>21</v>
      </c>
      <c r="AK129" s="92">
        <f t="shared" ref="AK129" si="37">AJ129</f>
        <v>21</v>
      </c>
      <c r="AL129" s="92">
        <f t="shared" ref="AL129" si="38">AK129</f>
        <v>21</v>
      </c>
      <c r="AM129" s="92">
        <f t="shared" ref="AM129" si="39">AL129</f>
        <v>21</v>
      </c>
      <c r="AN129" s="92">
        <f t="shared" ref="AN129" si="40">AM129</f>
        <v>21</v>
      </c>
      <c r="AO129" s="92">
        <f t="shared" ref="AO129" si="41">AN129</f>
        <v>21</v>
      </c>
      <c r="AP129" s="92">
        <f t="shared" ref="AP129" si="42">AO129</f>
        <v>21</v>
      </c>
      <c r="AQ129" s="92">
        <f t="shared" ref="AQ129" si="43">AP129</f>
        <v>21</v>
      </c>
      <c r="AR129" s="92">
        <f t="shared" ref="AR129" si="44">AQ129</f>
        <v>21</v>
      </c>
      <c r="AS129" s="92">
        <f t="shared" ref="AS129" si="45">AR129</f>
        <v>21</v>
      </c>
      <c r="AT129" s="92">
        <f t="shared" ref="AT129" si="46">AS129</f>
        <v>21</v>
      </c>
      <c r="AU129" s="92">
        <f t="shared" ref="AU129" si="47">AT129</f>
        <v>21</v>
      </c>
      <c r="AV129" s="92">
        <f t="shared" ref="AV129" si="48">AU129</f>
        <v>21</v>
      </c>
      <c r="AW129" s="92">
        <f t="shared" ref="AW129" si="49">AV129</f>
        <v>21</v>
      </c>
      <c r="AX129" s="92">
        <f t="shared" ref="AX129" si="50">AW129</f>
        <v>21</v>
      </c>
      <c r="AY129" s="92">
        <f t="shared" ref="AY129" si="51">AX129</f>
        <v>21</v>
      </c>
    </row>
    <row r="130" spans="1:51" s="84" customFormat="1" ht="13.5" thickBot="1" x14ac:dyDescent="0.25">
      <c r="A130" s="84" t="s">
        <v>65</v>
      </c>
      <c r="B130" s="96" t="s">
        <v>51</v>
      </c>
      <c r="C130" s="85"/>
      <c r="D130" s="93">
        <f t="shared" ref="D130:H130" si="52">E128/30*D129</f>
        <v>0</v>
      </c>
      <c r="E130" s="93">
        <f t="shared" si="52"/>
        <v>0</v>
      </c>
      <c r="F130" s="93">
        <f t="shared" si="52"/>
        <v>0</v>
      </c>
      <c r="G130" s="93">
        <f t="shared" si="52"/>
        <v>0</v>
      </c>
      <c r="H130" s="93">
        <f t="shared" si="52"/>
        <v>0</v>
      </c>
      <c r="I130" s="93">
        <f>J128/30*I129</f>
        <v>21000</v>
      </c>
      <c r="J130" s="93">
        <f t="shared" ref="J130:AY130" si="53">K128/30*J129</f>
        <v>23100</v>
      </c>
      <c r="K130" s="93">
        <f t="shared" si="53"/>
        <v>25410</v>
      </c>
      <c r="L130" s="93">
        <f t="shared" si="53"/>
        <v>27951</v>
      </c>
      <c r="M130" s="93">
        <f t="shared" si="53"/>
        <v>30746.1</v>
      </c>
      <c r="N130" s="93">
        <f t="shared" si="53"/>
        <v>33820.71</v>
      </c>
      <c r="O130" s="93">
        <f t="shared" si="53"/>
        <v>37202.78100000001</v>
      </c>
      <c r="P130" s="93">
        <f t="shared" si="53"/>
        <v>40923.059100000013</v>
      </c>
      <c r="Q130" s="93">
        <f t="shared" si="53"/>
        <v>45015.365010000016</v>
      </c>
      <c r="R130" s="93">
        <f t="shared" si="53"/>
        <v>45015.365010000016</v>
      </c>
      <c r="S130" s="93">
        <f t="shared" si="53"/>
        <v>45015.365010000016</v>
      </c>
      <c r="T130" s="93">
        <f t="shared" si="53"/>
        <v>45015.365010000016</v>
      </c>
      <c r="U130" s="93">
        <f t="shared" si="53"/>
        <v>45015.365010000016</v>
      </c>
      <c r="V130" s="93">
        <f t="shared" si="53"/>
        <v>45015.365010000016</v>
      </c>
      <c r="W130" s="93">
        <f t="shared" si="53"/>
        <v>45015.365010000016</v>
      </c>
      <c r="X130" s="93">
        <f t="shared" si="53"/>
        <v>45015.365010000016</v>
      </c>
      <c r="Y130" s="93">
        <f t="shared" si="53"/>
        <v>45015.365010000016</v>
      </c>
      <c r="Z130" s="93">
        <f t="shared" si="53"/>
        <v>45015.365010000016</v>
      </c>
      <c r="AA130" s="93">
        <f t="shared" si="53"/>
        <v>45015.365010000016</v>
      </c>
      <c r="AB130" s="93">
        <f t="shared" si="53"/>
        <v>45015.365010000016</v>
      </c>
      <c r="AC130" s="93">
        <f t="shared" si="53"/>
        <v>45015.365010000016</v>
      </c>
      <c r="AD130" s="93">
        <f t="shared" si="53"/>
        <v>45015.365010000016</v>
      </c>
      <c r="AE130" s="93">
        <f t="shared" si="53"/>
        <v>45015.365010000016</v>
      </c>
      <c r="AF130" s="93">
        <f t="shared" si="53"/>
        <v>45015.365010000016</v>
      </c>
      <c r="AG130" s="93">
        <f t="shared" si="53"/>
        <v>45015.365010000016</v>
      </c>
      <c r="AH130" s="93">
        <f t="shared" si="53"/>
        <v>45015.365010000016</v>
      </c>
      <c r="AI130" s="93">
        <f t="shared" si="53"/>
        <v>45015.365010000016</v>
      </c>
      <c r="AJ130" s="93">
        <f t="shared" si="53"/>
        <v>45015.365010000016</v>
      </c>
      <c r="AK130" s="93">
        <f t="shared" si="53"/>
        <v>45015.365010000016</v>
      </c>
      <c r="AL130" s="93">
        <f t="shared" si="53"/>
        <v>45015.365010000016</v>
      </c>
      <c r="AM130" s="93">
        <f t="shared" si="53"/>
        <v>45015.365010000016</v>
      </c>
      <c r="AN130" s="93">
        <f t="shared" si="53"/>
        <v>45015.365010000016</v>
      </c>
      <c r="AO130" s="93">
        <f t="shared" si="53"/>
        <v>45015.365010000016</v>
      </c>
      <c r="AP130" s="93">
        <f t="shared" si="53"/>
        <v>45015.365010000016</v>
      </c>
      <c r="AQ130" s="93">
        <f t="shared" si="53"/>
        <v>45015.365010000016</v>
      </c>
      <c r="AR130" s="93">
        <f t="shared" si="53"/>
        <v>45015.365010000016</v>
      </c>
      <c r="AS130" s="93">
        <f t="shared" si="53"/>
        <v>45015.365010000016</v>
      </c>
      <c r="AT130" s="93">
        <f t="shared" si="53"/>
        <v>45015.365010000016</v>
      </c>
      <c r="AU130" s="93">
        <f t="shared" si="53"/>
        <v>45015.365010000016</v>
      </c>
      <c r="AV130" s="93">
        <f t="shared" si="53"/>
        <v>45015.365010000016</v>
      </c>
      <c r="AW130" s="93">
        <f t="shared" si="53"/>
        <v>45015.365010000016</v>
      </c>
      <c r="AX130" s="93">
        <f t="shared" si="53"/>
        <v>45015.365010000016</v>
      </c>
      <c r="AY130" s="93">
        <f t="shared" si="53"/>
        <v>0</v>
      </c>
    </row>
    <row r="131" spans="1:51" s="84" customFormat="1" ht="13.5" thickBot="1" x14ac:dyDescent="0.25">
      <c r="A131" s="84" t="s">
        <v>64</v>
      </c>
      <c r="B131" s="96" t="s">
        <v>51</v>
      </c>
      <c r="C131" s="85"/>
      <c r="D131" s="120">
        <f>D130</f>
        <v>0</v>
      </c>
      <c r="E131" s="94">
        <f t="shared" ref="E131:AY131" si="54">E130-D130</f>
        <v>0</v>
      </c>
      <c r="F131" s="94">
        <f t="shared" si="54"/>
        <v>0</v>
      </c>
      <c r="G131" s="94">
        <f t="shared" si="54"/>
        <v>0</v>
      </c>
      <c r="H131" s="94">
        <f t="shared" si="54"/>
        <v>0</v>
      </c>
      <c r="I131" s="94">
        <f t="shared" si="54"/>
        <v>21000</v>
      </c>
      <c r="J131" s="94">
        <f t="shared" si="54"/>
        <v>2100</v>
      </c>
      <c r="K131" s="94">
        <f t="shared" si="54"/>
        <v>2310</v>
      </c>
      <c r="L131" s="94">
        <f t="shared" si="54"/>
        <v>2541</v>
      </c>
      <c r="M131" s="94">
        <f t="shared" si="54"/>
        <v>2795.0999999999985</v>
      </c>
      <c r="N131" s="94">
        <f t="shared" si="54"/>
        <v>3074.6100000000006</v>
      </c>
      <c r="O131" s="94">
        <f t="shared" si="54"/>
        <v>3382.0710000000108</v>
      </c>
      <c r="P131" s="94">
        <f t="shared" si="54"/>
        <v>3720.2781000000032</v>
      </c>
      <c r="Q131" s="94">
        <f t="shared" si="54"/>
        <v>4092.3059100000028</v>
      </c>
      <c r="R131" s="94">
        <f t="shared" si="54"/>
        <v>0</v>
      </c>
      <c r="S131" s="94">
        <f t="shared" si="54"/>
        <v>0</v>
      </c>
      <c r="T131" s="94">
        <f t="shared" si="54"/>
        <v>0</v>
      </c>
      <c r="U131" s="94">
        <f t="shared" si="54"/>
        <v>0</v>
      </c>
      <c r="V131" s="94">
        <f t="shared" si="54"/>
        <v>0</v>
      </c>
      <c r="W131" s="94">
        <f t="shared" si="54"/>
        <v>0</v>
      </c>
      <c r="X131" s="94">
        <f t="shared" si="54"/>
        <v>0</v>
      </c>
      <c r="Y131" s="94">
        <f t="shared" si="54"/>
        <v>0</v>
      </c>
      <c r="Z131" s="94">
        <f t="shared" si="54"/>
        <v>0</v>
      </c>
      <c r="AA131" s="94">
        <f t="shared" si="54"/>
        <v>0</v>
      </c>
      <c r="AB131" s="94">
        <f t="shared" si="54"/>
        <v>0</v>
      </c>
      <c r="AC131" s="94">
        <f t="shared" si="54"/>
        <v>0</v>
      </c>
      <c r="AD131" s="94">
        <f t="shared" si="54"/>
        <v>0</v>
      </c>
      <c r="AE131" s="94">
        <f t="shared" si="54"/>
        <v>0</v>
      </c>
      <c r="AF131" s="94">
        <f t="shared" si="54"/>
        <v>0</v>
      </c>
      <c r="AG131" s="94">
        <f t="shared" si="54"/>
        <v>0</v>
      </c>
      <c r="AH131" s="94">
        <f t="shared" si="54"/>
        <v>0</v>
      </c>
      <c r="AI131" s="94">
        <f t="shared" si="54"/>
        <v>0</v>
      </c>
      <c r="AJ131" s="94">
        <f t="shared" si="54"/>
        <v>0</v>
      </c>
      <c r="AK131" s="94">
        <f t="shared" si="54"/>
        <v>0</v>
      </c>
      <c r="AL131" s="94">
        <f t="shared" si="54"/>
        <v>0</v>
      </c>
      <c r="AM131" s="94">
        <f t="shared" si="54"/>
        <v>0</v>
      </c>
      <c r="AN131" s="94">
        <f t="shared" si="54"/>
        <v>0</v>
      </c>
      <c r="AO131" s="94">
        <f t="shared" si="54"/>
        <v>0</v>
      </c>
      <c r="AP131" s="94">
        <f t="shared" si="54"/>
        <v>0</v>
      </c>
      <c r="AQ131" s="94">
        <f t="shared" si="54"/>
        <v>0</v>
      </c>
      <c r="AR131" s="94">
        <f t="shared" si="54"/>
        <v>0</v>
      </c>
      <c r="AS131" s="94">
        <f t="shared" si="54"/>
        <v>0</v>
      </c>
      <c r="AT131" s="94">
        <f t="shared" si="54"/>
        <v>0</v>
      </c>
      <c r="AU131" s="94">
        <f t="shared" si="54"/>
        <v>0</v>
      </c>
      <c r="AV131" s="94">
        <f t="shared" si="54"/>
        <v>0</v>
      </c>
      <c r="AW131" s="94">
        <f t="shared" si="54"/>
        <v>0</v>
      </c>
      <c r="AX131" s="94">
        <f t="shared" si="54"/>
        <v>0</v>
      </c>
      <c r="AY131" s="94">
        <f t="shared" si="54"/>
        <v>-45015.365010000016</v>
      </c>
    </row>
    <row r="132" spans="1:51" s="24" customFormat="1" ht="12.75" x14ac:dyDescent="0.2">
      <c r="A132" s="95" t="s">
        <v>72</v>
      </c>
      <c r="B132" s="96" t="s">
        <v>51</v>
      </c>
      <c r="C132" s="78">
        <f>SUM(D132:AY132)</f>
        <v>2529537.2292000004</v>
      </c>
      <c r="D132" s="122">
        <f t="shared" ref="D132:AY132" si="55">D128+D131</f>
        <v>0</v>
      </c>
      <c r="E132" s="97">
        <f t="shared" si="55"/>
        <v>0</v>
      </c>
      <c r="F132" s="97">
        <f t="shared" si="55"/>
        <v>0</v>
      </c>
      <c r="G132" s="97">
        <f t="shared" si="55"/>
        <v>0</v>
      </c>
      <c r="H132" s="97">
        <f t="shared" si="55"/>
        <v>0</v>
      </c>
      <c r="I132" s="97">
        <f t="shared" si="55"/>
        <v>21000</v>
      </c>
      <c r="J132" s="97">
        <f t="shared" si="55"/>
        <v>32100</v>
      </c>
      <c r="K132" s="97">
        <f t="shared" si="55"/>
        <v>35310</v>
      </c>
      <c r="L132" s="97">
        <f t="shared" si="55"/>
        <v>38841</v>
      </c>
      <c r="M132" s="97">
        <f t="shared" si="55"/>
        <v>42725.1</v>
      </c>
      <c r="N132" s="97">
        <f t="shared" si="55"/>
        <v>46997.61</v>
      </c>
      <c r="O132" s="97">
        <f t="shared" si="55"/>
        <v>51697.371000000014</v>
      </c>
      <c r="P132" s="97">
        <f t="shared" si="55"/>
        <v>56867.108100000012</v>
      </c>
      <c r="Q132" s="97">
        <f t="shared" si="55"/>
        <v>62553.818910000016</v>
      </c>
      <c r="R132" s="97">
        <f t="shared" si="55"/>
        <v>64307.664300000019</v>
      </c>
      <c r="S132" s="97">
        <f t="shared" si="55"/>
        <v>64307.664300000019</v>
      </c>
      <c r="T132" s="97">
        <f t="shared" si="55"/>
        <v>64307.664300000019</v>
      </c>
      <c r="U132" s="97">
        <f t="shared" si="55"/>
        <v>64307.664300000019</v>
      </c>
      <c r="V132" s="97">
        <f t="shared" si="55"/>
        <v>64307.664300000019</v>
      </c>
      <c r="W132" s="97">
        <f t="shared" si="55"/>
        <v>64307.664300000019</v>
      </c>
      <c r="X132" s="97">
        <f t="shared" si="55"/>
        <v>64307.664300000019</v>
      </c>
      <c r="Y132" s="97">
        <f t="shared" si="55"/>
        <v>64307.664300000019</v>
      </c>
      <c r="Z132" s="97">
        <f t="shared" si="55"/>
        <v>64307.664300000019</v>
      </c>
      <c r="AA132" s="97">
        <f t="shared" si="55"/>
        <v>64307.664300000019</v>
      </c>
      <c r="AB132" s="97">
        <f t="shared" si="55"/>
        <v>64307.664300000019</v>
      </c>
      <c r="AC132" s="97">
        <f t="shared" si="55"/>
        <v>64307.664300000019</v>
      </c>
      <c r="AD132" s="97">
        <f t="shared" si="55"/>
        <v>64307.664300000019</v>
      </c>
      <c r="AE132" s="97">
        <f t="shared" si="55"/>
        <v>64307.664300000019</v>
      </c>
      <c r="AF132" s="97">
        <f t="shared" si="55"/>
        <v>64307.664300000019</v>
      </c>
      <c r="AG132" s="97">
        <f t="shared" si="55"/>
        <v>64307.664300000019</v>
      </c>
      <c r="AH132" s="97">
        <f t="shared" si="55"/>
        <v>64307.664300000019</v>
      </c>
      <c r="AI132" s="97">
        <f t="shared" si="55"/>
        <v>64307.664300000019</v>
      </c>
      <c r="AJ132" s="97">
        <f t="shared" si="55"/>
        <v>64307.664300000019</v>
      </c>
      <c r="AK132" s="97">
        <f t="shared" si="55"/>
        <v>64307.664300000019</v>
      </c>
      <c r="AL132" s="97">
        <f t="shared" si="55"/>
        <v>64307.664300000019</v>
      </c>
      <c r="AM132" s="97">
        <f t="shared" si="55"/>
        <v>64307.664300000019</v>
      </c>
      <c r="AN132" s="97">
        <f t="shared" si="55"/>
        <v>64307.664300000019</v>
      </c>
      <c r="AO132" s="97">
        <f t="shared" si="55"/>
        <v>64307.664300000019</v>
      </c>
      <c r="AP132" s="97">
        <f t="shared" si="55"/>
        <v>64307.664300000019</v>
      </c>
      <c r="AQ132" s="97">
        <f t="shared" si="55"/>
        <v>64307.664300000019</v>
      </c>
      <c r="AR132" s="97">
        <f t="shared" si="55"/>
        <v>64307.664300000019</v>
      </c>
      <c r="AS132" s="97">
        <f t="shared" si="55"/>
        <v>64307.664300000019</v>
      </c>
      <c r="AT132" s="97">
        <f t="shared" si="55"/>
        <v>64307.664300000019</v>
      </c>
      <c r="AU132" s="97">
        <f t="shared" si="55"/>
        <v>64307.664300000019</v>
      </c>
      <c r="AV132" s="97">
        <f t="shared" si="55"/>
        <v>64307.664300000019</v>
      </c>
      <c r="AW132" s="97">
        <f t="shared" si="55"/>
        <v>64307.664300000019</v>
      </c>
      <c r="AX132" s="97">
        <f t="shared" si="55"/>
        <v>64307.664300000019</v>
      </c>
      <c r="AY132" s="97">
        <f t="shared" si="55"/>
        <v>19292.299290000003</v>
      </c>
    </row>
    <row r="133" spans="1:51" s="84" customFormat="1" ht="12.75" x14ac:dyDescent="0.2">
      <c r="B133" s="13"/>
      <c r="C133" s="85"/>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row>
    <row r="134" spans="1:51" s="13" customFormat="1" ht="12.75" x14ac:dyDescent="0.2">
      <c r="A134" s="76" t="s">
        <v>189</v>
      </c>
      <c r="C134" s="16"/>
      <c r="D134" s="16"/>
      <c r="E134" s="16"/>
      <c r="F134" s="16"/>
      <c r="G134" s="16"/>
      <c r="H134" s="16"/>
      <c r="I134" s="16"/>
      <c r="J134" s="16"/>
    </row>
    <row r="135" spans="1:51" s="13" customFormat="1" ht="12.75" x14ac:dyDescent="0.2">
      <c r="A135" s="59" t="s">
        <v>66</v>
      </c>
      <c r="C135" s="16"/>
      <c r="D135" s="16"/>
      <c r="E135" s="16"/>
      <c r="F135" s="16"/>
      <c r="G135" s="16"/>
      <c r="H135" s="16"/>
      <c r="I135" s="16"/>
      <c r="J135" s="16"/>
    </row>
    <row r="136" spans="1:51" s="13" customFormat="1" ht="12.75" x14ac:dyDescent="0.2">
      <c r="A136" s="91" t="s">
        <v>67</v>
      </c>
      <c r="B136" s="91" t="s">
        <v>70</v>
      </c>
      <c r="C136" s="78"/>
      <c r="D136" s="98"/>
      <c r="E136" s="98"/>
      <c r="F136" s="98"/>
      <c r="G136" s="98"/>
      <c r="H136" s="98"/>
      <c r="I136" s="98"/>
      <c r="J136" s="98">
        <v>0.03</v>
      </c>
      <c r="K136" s="98">
        <f t="shared" ref="K136:K139" si="56">J136</f>
        <v>0.03</v>
      </c>
      <c r="L136" s="98">
        <f t="shared" ref="L136:L139" si="57">K136</f>
        <v>0.03</v>
      </c>
      <c r="M136" s="98">
        <f t="shared" ref="M136:M139" si="58">L136</f>
        <v>0.03</v>
      </c>
      <c r="N136" s="98">
        <f t="shared" ref="N136:N139" si="59">M136</f>
        <v>0.03</v>
      </c>
      <c r="O136" s="98">
        <f t="shared" ref="O136:O139" si="60">N136</f>
        <v>0.03</v>
      </c>
      <c r="P136" s="98">
        <f t="shared" ref="P136:P139" si="61">O136</f>
        <v>0.03</v>
      </c>
      <c r="Q136" s="98">
        <f t="shared" ref="Q136:Q139" si="62">P136</f>
        <v>0.03</v>
      </c>
      <c r="R136" s="98">
        <f t="shared" ref="R136:R139" si="63">Q136</f>
        <v>0.03</v>
      </c>
      <c r="S136" s="98">
        <f t="shared" ref="S136:S139" si="64">R136</f>
        <v>0.03</v>
      </c>
      <c r="T136" s="98">
        <f t="shared" ref="T136:T139" si="65">S136</f>
        <v>0.03</v>
      </c>
      <c r="U136" s="98">
        <f t="shared" ref="U136:U139" si="66">T136</f>
        <v>0.03</v>
      </c>
      <c r="V136" s="98">
        <f t="shared" ref="V136:V139" si="67">U136</f>
        <v>0.03</v>
      </c>
      <c r="W136" s="98">
        <f t="shared" ref="W136:W139" si="68">V136</f>
        <v>0.03</v>
      </c>
      <c r="X136" s="98">
        <f t="shared" ref="X136:X139" si="69">W136</f>
        <v>0.03</v>
      </c>
      <c r="Y136" s="98">
        <f t="shared" ref="Y136:Y139" si="70">X136</f>
        <v>0.03</v>
      </c>
      <c r="Z136" s="98">
        <f t="shared" ref="Z136:Z139" si="71">Y136</f>
        <v>0.03</v>
      </c>
      <c r="AA136" s="98">
        <f t="shared" ref="AA136:AA139" si="72">Z136</f>
        <v>0.03</v>
      </c>
      <c r="AB136" s="98">
        <f t="shared" ref="AB136:AB139" si="73">AA136</f>
        <v>0.03</v>
      </c>
      <c r="AC136" s="98">
        <f t="shared" ref="AC136:AC139" si="74">AB136</f>
        <v>0.03</v>
      </c>
      <c r="AD136" s="98">
        <f t="shared" ref="AD136:AD139" si="75">AC136</f>
        <v>0.03</v>
      </c>
      <c r="AE136" s="98">
        <f t="shared" ref="AE136:AE139" si="76">AD136</f>
        <v>0.03</v>
      </c>
      <c r="AF136" s="98">
        <f t="shared" ref="AF136:AF139" si="77">AE136</f>
        <v>0.03</v>
      </c>
      <c r="AG136" s="98">
        <f t="shared" ref="AG136:AG139" si="78">AF136</f>
        <v>0.03</v>
      </c>
      <c r="AH136" s="98">
        <f t="shared" ref="AH136:AH139" si="79">AG136</f>
        <v>0.03</v>
      </c>
      <c r="AI136" s="98">
        <f t="shared" ref="AI136:AI139" si="80">AH136</f>
        <v>0.03</v>
      </c>
      <c r="AJ136" s="98">
        <f t="shared" ref="AJ136:AJ139" si="81">AI136</f>
        <v>0.03</v>
      </c>
      <c r="AK136" s="98">
        <f t="shared" ref="AK136:AK139" si="82">AJ136</f>
        <v>0.03</v>
      </c>
      <c r="AL136" s="98">
        <f t="shared" ref="AL136:AL139" si="83">AK136</f>
        <v>0.03</v>
      </c>
      <c r="AM136" s="98">
        <f t="shared" ref="AM136:AM139" si="84">AL136</f>
        <v>0.03</v>
      </c>
      <c r="AN136" s="98">
        <f t="shared" ref="AN136:AN139" si="85">AM136</f>
        <v>0.03</v>
      </c>
      <c r="AO136" s="98">
        <f t="shared" ref="AO136:AO139" si="86">AN136</f>
        <v>0.03</v>
      </c>
      <c r="AP136" s="98">
        <f t="shared" ref="AP136:AP139" si="87">AO136</f>
        <v>0.03</v>
      </c>
      <c r="AQ136" s="98">
        <f t="shared" ref="AQ136:AQ139" si="88">AP136</f>
        <v>0.03</v>
      </c>
      <c r="AR136" s="98">
        <f t="shared" ref="AR136:AR139" si="89">AQ136</f>
        <v>0.03</v>
      </c>
      <c r="AS136" s="98">
        <f t="shared" ref="AS136:AS139" si="90">AR136</f>
        <v>0.03</v>
      </c>
      <c r="AT136" s="98">
        <f t="shared" ref="AT136:AT139" si="91">AS136</f>
        <v>0.03</v>
      </c>
      <c r="AU136" s="98">
        <f t="shared" ref="AU136:AU139" si="92">AT136</f>
        <v>0.03</v>
      </c>
      <c r="AV136" s="98">
        <f t="shared" ref="AV136:AV139" si="93">AU136</f>
        <v>0.03</v>
      </c>
      <c r="AW136" s="98">
        <f t="shared" ref="AW136:AW139" si="94">AV136</f>
        <v>0.03</v>
      </c>
      <c r="AX136" s="98">
        <f t="shared" ref="AX136:AX139" si="95">AW136</f>
        <v>0.03</v>
      </c>
      <c r="AY136" s="98">
        <f t="shared" ref="AY136:AY139" si="96">AX136</f>
        <v>0.03</v>
      </c>
    </row>
    <row r="137" spans="1:51" s="13" customFormat="1" ht="12.75" x14ac:dyDescent="0.2">
      <c r="A137" s="91" t="s">
        <v>68</v>
      </c>
      <c r="B137" s="91" t="s">
        <v>70</v>
      </c>
      <c r="C137" s="78"/>
      <c r="D137" s="98"/>
      <c r="E137" s="98"/>
      <c r="F137" s="98"/>
      <c r="G137" s="98"/>
      <c r="H137" s="98"/>
      <c r="I137" s="98"/>
      <c r="J137" s="98">
        <v>7.0000000000000007E-2</v>
      </c>
      <c r="K137" s="98">
        <f t="shared" si="56"/>
        <v>7.0000000000000007E-2</v>
      </c>
      <c r="L137" s="98">
        <f t="shared" si="57"/>
        <v>7.0000000000000007E-2</v>
      </c>
      <c r="M137" s="98">
        <f t="shared" si="58"/>
        <v>7.0000000000000007E-2</v>
      </c>
      <c r="N137" s="98">
        <f t="shared" si="59"/>
        <v>7.0000000000000007E-2</v>
      </c>
      <c r="O137" s="98">
        <f t="shared" si="60"/>
        <v>7.0000000000000007E-2</v>
      </c>
      <c r="P137" s="98">
        <f t="shared" si="61"/>
        <v>7.0000000000000007E-2</v>
      </c>
      <c r="Q137" s="98">
        <f t="shared" si="62"/>
        <v>7.0000000000000007E-2</v>
      </c>
      <c r="R137" s="98">
        <f t="shared" si="63"/>
        <v>7.0000000000000007E-2</v>
      </c>
      <c r="S137" s="98">
        <f t="shared" si="64"/>
        <v>7.0000000000000007E-2</v>
      </c>
      <c r="T137" s="98">
        <f t="shared" si="65"/>
        <v>7.0000000000000007E-2</v>
      </c>
      <c r="U137" s="98">
        <f t="shared" si="66"/>
        <v>7.0000000000000007E-2</v>
      </c>
      <c r="V137" s="98">
        <f t="shared" si="67"/>
        <v>7.0000000000000007E-2</v>
      </c>
      <c r="W137" s="98">
        <f t="shared" si="68"/>
        <v>7.0000000000000007E-2</v>
      </c>
      <c r="X137" s="98">
        <f t="shared" si="69"/>
        <v>7.0000000000000007E-2</v>
      </c>
      <c r="Y137" s="98">
        <f t="shared" si="70"/>
        <v>7.0000000000000007E-2</v>
      </c>
      <c r="Z137" s="98">
        <f t="shared" si="71"/>
        <v>7.0000000000000007E-2</v>
      </c>
      <c r="AA137" s="98">
        <f t="shared" si="72"/>
        <v>7.0000000000000007E-2</v>
      </c>
      <c r="AB137" s="98">
        <f t="shared" si="73"/>
        <v>7.0000000000000007E-2</v>
      </c>
      <c r="AC137" s="98">
        <f t="shared" si="74"/>
        <v>7.0000000000000007E-2</v>
      </c>
      <c r="AD137" s="98">
        <f t="shared" si="75"/>
        <v>7.0000000000000007E-2</v>
      </c>
      <c r="AE137" s="98">
        <f t="shared" si="76"/>
        <v>7.0000000000000007E-2</v>
      </c>
      <c r="AF137" s="98">
        <f t="shared" si="77"/>
        <v>7.0000000000000007E-2</v>
      </c>
      <c r="AG137" s="98">
        <f t="shared" si="78"/>
        <v>7.0000000000000007E-2</v>
      </c>
      <c r="AH137" s="98">
        <f t="shared" si="79"/>
        <v>7.0000000000000007E-2</v>
      </c>
      <c r="AI137" s="98">
        <f t="shared" si="80"/>
        <v>7.0000000000000007E-2</v>
      </c>
      <c r="AJ137" s="98">
        <f t="shared" si="81"/>
        <v>7.0000000000000007E-2</v>
      </c>
      <c r="AK137" s="98">
        <f t="shared" si="82"/>
        <v>7.0000000000000007E-2</v>
      </c>
      <c r="AL137" s="98">
        <f t="shared" si="83"/>
        <v>7.0000000000000007E-2</v>
      </c>
      <c r="AM137" s="98">
        <f t="shared" si="84"/>
        <v>7.0000000000000007E-2</v>
      </c>
      <c r="AN137" s="98">
        <f t="shared" si="85"/>
        <v>7.0000000000000007E-2</v>
      </c>
      <c r="AO137" s="98">
        <f t="shared" si="86"/>
        <v>7.0000000000000007E-2</v>
      </c>
      <c r="AP137" s="98">
        <f t="shared" si="87"/>
        <v>7.0000000000000007E-2</v>
      </c>
      <c r="AQ137" s="98">
        <f t="shared" si="88"/>
        <v>7.0000000000000007E-2</v>
      </c>
      <c r="AR137" s="98">
        <f t="shared" si="89"/>
        <v>7.0000000000000007E-2</v>
      </c>
      <c r="AS137" s="98">
        <f t="shared" si="90"/>
        <v>7.0000000000000007E-2</v>
      </c>
      <c r="AT137" s="98">
        <f t="shared" si="91"/>
        <v>7.0000000000000007E-2</v>
      </c>
      <c r="AU137" s="98">
        <f t="shared" si="92"/>
        <v>7.0000000000000007E-2</v>
      </c>
      <c r="AV137" s="98">
        <f t="shared" si="93"/>
        <v>7.0000000000000007E-2</v>
      </c>
      <c r="AW137" s="98">
        <f t="shared" si="94"/>
        <v>7.0000000000000007E-2</v>
      </c>
      <c r="AX137" s="98">
        <f t="shared" si="95"/>
        <v>7.0000000000000007E-2</v>
      </c>
      <c r="AY137" s="98">
        <f t="shared" si="96"/>
        <v>7.0000000000000007E-2</v>
      </c>
    </row>
    <row r="138" spans="1:51" s="13" customFormat="1" ht="12.75" x14ac:dyDescent="0.2">
      <c r="A138" s="91" t="s">
        <v>69</v>
      </c>
      <c r="B138" s="91" t="s">
        <v>70</v>
      </c>
      <c r="C138" s="78"/>
      <c r="D138" s="98"/>
      <c r="E138" s="98"/>
      <c r="F138" s="98"/>
      <c r="G138" s="98"/>
      <c r="H138" s="98"/>
      <c r="I138" s="98"/>
      <c r="J138" s="98">
        <v>0.02</v>
      </c>
      <c r="K138" s="98">
        <f t="shared" ref="K138" si="97">J138</f>
        <v>0.02</v>
      </c>
      <c r="L138" s="98">
        <f t="shared" ref="L138" si="98">K138</f>
        <v>0.02</v>
      </c>
      <c r="M138" s="98">
        <f t="shared" ref="M138" si="99">L138</f>
        <v>0.02</v>
      </c>
      <c r="N138" s="98">
        <f t="shared" ref="N138" si="100">M138</f>
        <v>0.02</v>
      </c>
      <c r="O138" s="98">
        <f t="shared" ref="O138" si="101">N138</f>
        <v>0.02</v>
      </c>
      <c r="P138" s="98">
        <f t="shared" ref="P138" si="102">O138</f>
        <v>0.02</v>
      </c>
      <c r="Q138" s="98">
        <f t="shared" ref="Q138" si="103">P138</f>
        <v>0.02</v>
      </c>
      <c r="R138" s="98">
        <f t="shared" ref="R138" si="104">Q138</f>
        <v>0.02</v>
      </c>
      <c r="S138" s="98">
        <f t="shared" ref="S138" si="105">R138</f>
        <v>0.02</v>
      </c>
      <c r="T138" s="98">
        <f t="shared" ref="T138" si="106">S138</f>
        <v>0.02</v>
      </c>
      <c r="U138" s="98">
        <f t="shared" ref="U138" si="107">T138</f>
        <v>0.02</v>
      </c>
      <c r="V138" s="98">
        <f t="shared" ref="V138" si="108">U138</f>
        <v>0.02</v>
      </c>
      <c r="W138" s="98">
        <f t="shared" ref="W138" si="109">V138</f>
        <v>0.02</v>
      </c>
      <c r="X138" s="98">
        <f t="shared" ref="X138" si="110">W138</f>
        <v>0.02</v>
      </c>
      <c r="Y138" s="98">
        <f t="shared" ref="Y138" si="111">X138</f>
        <v>0.02</v>
      </c>
      <c r="Z138" s="98">
        <f t="shared" ref="Z138" si="112">Y138</f>
        <v>0.02</v>
      </c>
      <c r="AA138" s="98">
        <f t="shared" ref="AA138" si="113">Z138</f>
        <v>0.02</v>
      </c>
      <c r="AB138" s="98">
        <f t="shared" ref="AB138" si="114">AA138</f>
        <v>0.02</v>
      </c>
      <c r="AC138" s="98">
        <f t="shared" ref="AC138" si="115">AB138</f>
        <v>0.02</v>
      </c>
      <c r="AD138" s="98">
        <f t="shared" ref="AD138" si="116">AC138</f>
        <v>0.02</v>
      </c>
      <c r="AE138" s="98">
        <f t="shared" ref="AE138" si="117">AD138</f>
        <v>0.02</v>
      </c>
      <c r="AF138" s="98">
        <f t="shared" ref="AF138" si="118">AE138</f>
        <v>0.02</v>
      </c>
      <c r="AG138" s="98">
        <f t="shared" ref="AG138" si="119">AF138</f>
        <v>0.02</v>
      </c>
      <c r="AH138" s="98">
        <f t="shared" ref="AH138" si="120">AG138</f>
        <v>0.02</v>
      </c>
      <c r="AI138" s="98">
        <f t="shared" ref="AI138" si="121">AH138</f>
        <v>0.02</v>
      </c>
      <c r="AJ138" s="98">
        <f t="shared" ref="AJ138" si="122">AI138</f>
        <v>0.02</v>
      </c>
      <c r="AK138" s="98">
        <f t="shared" ref="AK138" si="123">AJ138</f>
        <v>0.02</v>
      </c>
      <c r="AL138" s="98">
        <f t="shared" ref="AL138" si="124">AK138</f>
        <v>0.02</v>
      </c>
      <c r="AM138" s="98">
        <f t="shared" ref="AM138" si="125">AL138</f>
        <v>0.02</v>
      </c>
      <c r="AN138" s="98">
        <f t="shared" ref="AN138" si="126">AM138</f>
        <v>0.02</v>
      </c>
      <c r="AO138" s="98">
        <f t="shared" ref="AO138" si="127">AN138</f>
        <v>0.02</v>
      </c>
      <c r="AP138" s="98">
        <f t="shared" ref="AP138" si="128">AO138</f>
        <v>0.02</v>
      </c>
      <c r="AQ138" s="98">
        <f t="shared" ref="AQ138" si="129">AP138</f>
        <v>0.02</v>
      </c>
      <c r="AR138" s="98">
        <f t="shared" ref="AR138" si="130">AQ138</f>
        <v>0.02</v>
      </c>
      <c r="AS138" s="98">
        <f t="shared" ref="AS138" si="131">AR138</f>
        <v>0.02</v>
      </c>
      <c r="AT138" s="98">
        <f t="shared" ref="AT138" si="132">AS138</f>
        <v>0.02</v>
      </c>
      <c r="AU138" s="98">
        <f t="shared" ref="AU138" si="133">AT138</f>
        <v>0.02</v>
      </c>
      <c r="AV138" s="98">
        <f t="shared" ref="AV138" si="134">AU138</f>
        <v>0.02</v>
      </c>
      <c r="AW138" s="98">
        <f t="shared" ref="AW138" si="135">AV138</f>
        <v>0.02</v>
      </c>
      <c r="AX138" s="98">
        <f t="shared" ref="AX138" si="136">AW138</f>
        <v>0.02</v>
      </c>
      <c r="AY138" s="98">
        <f t="shared" ref="AY138" si="137">AX138</f>
        <v>0.02</v>
      </c>
    </row>
    <row r="139" spans="1:51" s="13" customFormat="1" ht="12.75" x14ac:dyDescent="0.2">
      <c r="A139" s="91" t="s">
        <v>196</v>
      </c>
      <c r="B139" s="91" t="s">
        <v>70</v>
      </c>
      <c r="C139" s="78"/>
      <c r="D139" s="98"/>
      <c r="E139" s="98"/>
      <c r="F139" s="98"/>
      <c r="G139" s="98"/>
      <c r="H139" s="98"/>
      <c r="I139" s="98"/>
      <c r="J139" s="98">
        <v>0.01</v>
      </c>
      <c r="K139" s="98">
        <f t="shared" si="56"/>
        <v>0.01</v>
      </c>
      <c r="L139" s="98">
        <f t="shared" si="57"/>
        <v>0.01</v>
      </c>
      <c r="M139" s="98">
        <f t="shared" si="58"/>
        <v>0.01</v>
      </c>
      <c r="N139" s="98">
        <f t="shared" si="59"/>
        <v>0.01</v>
      </c>
      <c r="O139" s="98">
        <f t="shared" si="60"/>
        <v>0.01</v>
      </c>
      <c r="P139" s="98">
        <f t="shared" si="61"/>
        <v>0.01</v>
      </c>
      <c r="Q139" s="98">
        <f t="shared" si="62"/>
        <v>0.01</v>
      </c>
      <c r="R139" s="98">
        <f t="shared" si="63"/>
        <v>0.01</v>
      </c>
      <c r="S139" s="98">
        <f t="shared" si="64"/>
        <v>0.01</v>
      </c>
      <c r="T139" s="98">
        <f t="shared" si="65"/>
        <v>0.01</v>
      </c>
      <c r="U139" s="98">
        <f t="shared" si="66"/>
        <v>0.01</v>
      </c>
      <c r="V139" s="98">
        <f t="shared" si="67"/>
        <v>0.01</v>
      </c>
      <c r="W139" s="98">
        <f t="shared" si="68"/>
        <v>0.01</v>
      </c>
      <c r="X139" s="98">
        <f t="shared" si="69"/>
        <v>0.01</v>
      </c>
      <c r="Y139" s="98">
        <f t="shared" si="70"/>
        <v>0.01</v>
      </c>
      <c r="Z139" s="98">
        <f t="shared" si="71"/>
        <v>0.01</v>
      </c>
      <c r="AA139" s="98">
        <f t="shared" si="72"/>
        <v>0.01</v>
      </c>
      <c r="AB139" s="98">
        <f t="shared" si="73"/>
        <v>0.01</v>
      </c>
      <c r="AC139" s="98">
        <f t="shared" si="74"/>
        <v>0.01</v>
      </c>
      <c r="AD139" s="98">
        <f t="shared" si="75"/>
        <v>0.01</v>
      </c>
      <c r="AE139" s="98">
        <f t="shared" si="76"/>
        <v>0.01</v>
      </c>
      <c r="AF139" s="98">
        <f t="shared" si="77"/>
        <v>0.01</v>
      </c>
      <c r="AG139" s="98">
        <f t="shared" si="78"/>
        <v>0.01</v>
      </c>
      <c r="AH139" s="98">
        <f t="shared" si="79"/>
        <v>0.01</v>
      </c>
      <c r="AI139" s="98">
        <f t="shared" si="80"/>
        <v>0.01</v>
      </c>
      <c r="AJ139" s="98">
        <f t="shared" si="81"/>
        <v>0.01</v>
      </c>
      <c r="AK139" s="98">
        <f t="shared" si="82"/>
        <v>0.01</v>
      </c>
      <c r="AL139" s="98">
        <f t="shared" si="83"/>
        <v>0.01</v>
      </c>
      <c r="AM139" s="98">
        <f t="shared" si="84"/>
        <v>0.01</v>
      </c>
      <c r="AN139" s="98">
        <f t="shared" si="85"/>
        <v>0.01</v>
      </c>
      <c r="AO139" s="98">
        <f t="shared" si="86"/>
        <v>0.01</v>
      </c>
      <c r="AP139" s="98">
        <f t="shared" si="87"/>
        <v>0.01</v>
      </c>
      <c r="AQ139" s="98">
        <f t="shared" si="88"/>
        <v>0.01</v>
      </c>
      <c r="AR139" s="98">
        <f t="shared" si="89"/>
        <v>0.01</v>
      </c>
      <c r="AS139" s="98">
        <f t="shared" si="90"/>
        <v>0.01</v>
      </c>
      <c r="AT139" s="98">
        <f t="shared" si="91"/>
        <v>0.01</v>
      </c>
      <c r="AU139" s="98">
        <f t="shared" si="92"/>
        <v>0.01</v>
      </c>
      <c r="AV139" s="98">
        <f t="shared" si="93"/>
        <v>0.01</v>
      </c>
      <c r="AW139" s="98">
        <f t="shared" si="94"/>
        <v>0.01</v>
      </c>
      <c r="AX139" s="98">
        <f t="shared" si="95"/>
        <v>0.01</v>
      </c>
      <c r="AY139" s="98">
        <f t="shared" si="96"/>
        <v>0.01</v>
      </c>
    </row>
    <row r="140" spans="1:51" s="84" customFormat="1" ht="12.75" x14ac:dyDescent="0.2">
      <c r="A140" s="84" t="str">
        <f>A134</f>
        <v>3b.  variable cost of production</v>
      </c>
      <c r="B140" s="13" t="s">
        <v>71</v>
      </c>
      <c r="C140" s="85"/>
      <c r="D140" s="99">
        <f t="shared" ref="D140:AY140" si="138">SUM(D136:D139)</f>
        <v>0</v>
      </c>
      <c r="E140" s="99">
        <f t="shared" si="138"/>
        <v>0</v>
      </c>
      <c r="F140" s="99">
        <f t="shared" si="138"/>
        <v>0</v>
      </c>
      <c r="G140" s="99">
        <f t="shared" si="138"/>
        <v>0</v>
      </c>
      <c r="H140" s="99">
        <f t="shared" si="138"/>
        <v>0</v>
      </c>
      <c r="I140" s="99">
        <f t="shared" si="138"/>
        <v>0</v>
      </c>
      <c r="J140" s="99">
        <f t="shared" si="138"/>
        <v>0.13</v>
      </c>
      <c r="K140" s="99">
        <f t="shared" si="138"/>
        <v>0.13</v>
      </c>
      <c r="L140" s="99">
        <f t="shared" si="138"/>
        <v>0.13</v>
      </c>
      <c r="M140" s="99">
        <f t="shared" si="138"/>
        <v>0.13</v>
      </c>
      <c r="N140" s="99">
        <f t="shared" si="138"/>
        <v>0.13</v>
      </c>
      <c r="O140" s="99">
        <f t="shared" si="138"/>
        <v>0.13</v>
      </c>
      <c r="P140" s="99">
        <f t="shared" si="138"/>
        <v>0.13</v>
      </c>
      <c r="Q140" s="99">
        <f t="shared" si="138"/>
        <v>0.13</v>
      </c>
      <c r="R140" s="99">
        <f t="shared" si="138"/>
        <v>0.13</v>
      </c>
      <c r="S140" s="99">
        <f t="shared" si="138"/>
        <v>0.13</v>
      </c>
      <c r="T140" s="99">
        <f t="shared" si="138"/>
        <v>0.13</v>
      </c>
      <c r="U140" s="99">
        <f t="shared" si="138"/>
        <v>0.13</v>
      </c>
      <c r="V140" s="99">
        <f t="shared" si="138"/>
        <v>0.13</v>
      </c>
      <c r="W140" s="99">
        <f t="shared" si="138"/>
        <v>0.13</v>
      </c>
      <c r="X140" s="99">
        <f t="shared" si="138"/>
        <v>0.13</v>
      </c>
      <c r="Y140" s="99">
        <f t="shared" si="138"/>
        <v>0.13</v>
      </c>
      <c r="Z140" s="99">
        <f t="shared" si="138"/>
        <v>0.13</v>
      </c>
      <c r="AA140" s="99">
        <f t="shared" si="138"/>
        <v>0.13</v>
      </c>
      <c r="AB140" s="99">
        <f t="shared" si="138"/>
        <v>0.13</v>
      </c>
      <c r="AC140" s="99">
        <f t="shared" si="138"/>
        <v>0.13</v>
      </c>
      <c r="AD140" s="99">
        <f t="shared" si="138"/>
        <v>0.13</v>
      </c>
      <c r="AE140" s="99">
        <f t="shared" si="138"/>
        <v>0.13</v>
      </c>
      <c r="AF140" s="99">
        <f t="shared" si="138"/>
        <v>0.13</v>
      </c>
      <c r="AG140" s="99">
        <f t="shared" si="138"/>
        <v>0.13</v>
      </c>
      <c r="AH140" s="99">
        <f t="shared" si="138"/>
        <v>0.13</v>
      </c>
      <c r="AI140" s="99">
        <f t="shared" si="138"/>
        <v>0.13</v>
      </c>
      <c r="AJ140" s="99">
        <f t="shared" si="138"/>
        <v>0.13</v>
      </c>
      <c r="AK140" s="99">
        <f t="shared" si="138"/>
        <v>0.13</v>
      </c>
      <c r="AL140" s="99">
        <f t="shared" si="138"/>
        <v>0.13</v>
      </c>
      <c r="AM140" s="99">
        <f t="shared" si="138"/>
        <v>0.13</v>
      </c>
      <c r="AN140" s="99">
        <f t="shared" si="138"/>
        <v>0.13</v>
      </c>
      <c r="AO140" s="99">
        <f t="shared" si="138"/>
        <v>0.13</v>
      </c>
      <c r="AP140" s="99">
        <f t="shared" si="138"/>
        <v>0.13</v>
      </c>
      <c r="AQ140" s="99">
        <f t="shared" si="138"/>
        <v>0.13</v>
      </c>
      <c r="AR140" s="99">
        <f t="shared" si="138"/>
        <v>0.13</v>
      </c>
      <c r="AS140" s="99">
        <f t="shared" si="138"/>
        <v>0.13</v>
      </c>
      <c r="AT140" s="99">
        <f t="shared" si="138"/>
        <v>0.13</v>
      </c>
      <c r="AU140" s="99">
        <f t="shared" si="138"/>
        <v>0.13</v>
      </c>
      <c r="AV140" s="99">
        <f t="shared" si="138"/>
        <v>0.13</v>
      </c>
      <c r="AW140" s="99">
        <f t="shared" si="138"/>
        <v>0.13</v>
      </c>
      <c r="AX140" s="99">
        <f t="shared" si="138"/>
        <v>0.13</v>
      </c>
      <c r="AY140" s="99">
        <f t="shared" si="138"/>
        <v>0.13</v>
      </c>
    </row>
    <row r="141" spans="1:51" s="24" customFormat="1" ht="12.75" x14ac:dyDescent="0.2">
      <c r="A141" s="95" t="s">
        <v>73</v>
      </c>
      <c r="B141" s="96" t="s">
        <v>52</v>
      </c>
      <c r="C141" s="78">
        <f>SUM(D141:AY141)</f>
        <v>326109.83979600004</v>
      </c>
      <c r="D141" s="97">
        <f t="shared" ref="D141:AY141" si="139">D132*D140</f>
        <v>0</v>
      </c>
      <c r="E141" s="97">
        <f t="shared" si="139"/>
        <v>0</v>
      </c>
      <c r="F141" s="97">
        <f t="shared" si="139"/>
        <v>0</v>
      </c>
      <c r="G141" s="97">
        <f t="shared" si="139"/>
        <v>0</v>
      </c>
      <c r="H141" s="97">
        <f t="shared" si="139"/>
        <v>0</v>
      </c>
      <c r="I141" s="97">
        <f t="shared" si="139"/>
        <v>0</v>
      </c>
      <c r="J141" s="97">
        <f t="shared" si="139"/>
        <v>4173</v>
      </c>
      <c r="K141" s="97">
        <f t="shared" si="139"/>
        <v>4590.3</v>
      </c>
      <c r="L141" s="97">
        <f t="shared" si="139"/>
        <v>5049.33</v>
      </c>
      <c r="M141" s="97">
        <f t="shared" si="139"/>
        <v>5554.2629999999999</v>
      </c>
      <c r="N141" s="97">
        <f t="shared" si="139"/>
        <v>6109.6893</v>
      </c>
      <c r="O141" s="97">
        <f t="shared" si="139"/>
        <v>6720.6582300000018</v>
      </c>
      <c r="P141" s="97">
        <f t="shared" si="139"/>
        <v>7392.7240530000017</v>
      </c>
      <c r="Q141" s="97">
        <f t="shared" si="139"/>
        <v>8131.9964583000028</v>
      </c>
      <c r="R141" s="97">
        <f t="shared" si="139"/>
        <v>8359.9963590000025</v>
      </c>
      <c r="S141" s="97">
        <f t="shared" si="139"/>
        <v>8359.9963590000025</v>
      </c>
      <c r="T141" s="97">
        <f t="shared" si="139"/>
        <v>8359.9963590000025</v>
      </c>
      <c r="U141" s="97">
        <f t="shared" si="139"/>
        <v>8359.9963590000025</v>
      </c>
      <c r="V141" s="97">
        <f t="shared" si="139"/>
        <v>8359.9963590000025</v>
      </c>
      <c r="W141" s="97">
        <f t="shared" si="139"/>
        <v>8359.9963590000025</v>
      </c>
      <c r="X141" s="97">
        <f t="shared" si="139"/>
        <v>8359.9963590000025</v>
      </c>
      <c r="Y141" s="97">
        <f t="shared" si="139"/>
        <v>8359.9963590000025</v>
      </c>
      <c r="Z141" s="97">
        <f t="shared" si="139"/>
        <v>8359.9963590000025</v>
      </c>
      <c r="AA141" s="97">
        <f t="shared" si="139"/>
        <v>8359.9963590000025</v>
      </c>
      <c r="AB141" s="97">
        <f t="shared" si="139"/>
        <v>8359.9963590000025</v>
      </c>
      <c r="AC141" s="97">
        <f t="shared" si="139"/>
        <v>8359.9963590000025</v>
      </c>
      <c r="AD141" s="97">
        <f t="shared" si="139"/>
        <v>8359.9963590000025</v>
      </c>
      <c r="AE141" s="97">
        <f t="shared" si="139"/>
        <v>8359.9963590000025</v>
      </c>
      <c r="AF141" s="97">
        <f t="shared" si="139"/>
        <v>8359.9963590000025</v>
      </c>
      <c r="AG141" s="97">
        <f t="shared" si="139"/>
        <v>8359.9963590000025</v>
      </c>
      <c r="AH141" s="97">
        <f t="shared" si="139"/>
        <v>8359.9963590000025</v>
      </c>
      <c r="AI141" s="97">
        <f t="shared" si="139"/>
        <v>8359.9963590000025</v>
      </c>
      <c r="AJ141" s="97">
        <f t="shared" si="139"/>
        <v>8359.9963590000025</v>
      </c>
      <c r="AK141" s="97">
        <f t="shared" si="139"/>
        <v>8359.9963590000025</v>
      </c>
      <c r="AL141" s="97">
        <f t="shared" si="139"/>
        <v>8359.9963590000025</v>
      </c>
      <c r="AM141" s="97">
        <f t="shared" si="139"/>
        <v>8359.9963590000025</v>
      </c>
      <c r="AN141" s="97">
        <f t="shared" si="139"/>
        <v>8359.9963590000025</v>
      </c>
      <c r="AO141" s="97">
        <f t="shared" si="139"/>
        <v>8359.9963590000025</v>
      </c>
      <c r="AP141" s="97">
        <f t="shared" si="139"/>
        <v>8359.9963590000025</v>
      </c>
      <c r="AQ141" s="97">
        <f t="shared" si="139"/>
        <v>8359.9963590000025</v>
      </c>
      <c r="AR141" s="97">
        <f t="shared" si="139"/>
        <v>8359.9963590000025</v>
      </c>
      <c r="AS141" s="97">
        <f t="shared" si="139"/>
        <v>8359.9963590000025</v>
      </c>
      <c r="AT141" s="97">
        <f t="shared" si="139"/>
        <v>8359.9963590000025</v>
      </c>
      <c r="AU141" s="97">
        <f t="shared" si="139"/>
        <v>8359.9963590000025</v>
      </c>
      <c r="AV141" s="97">
        <f t="shared" si="139"/>
        <v>8359.9963590000025</v>
      </c>
      <c r="AW141" s="97">
        <f t="shared" si="139"/>
        <v>8359.9963590000025</v>
      </c>
      <c r="AX141" s="97">
        <f t="shared" si="139"/>
        <v>8359.9963590000025</v>
      </c>
      <c r="AY141" s="97">
        <f t="shared" si="139"/>
        <v>2507.9989077000005</v>
      </c>
    </row>
    <row r="142" spans="1:51" s="84" customFormat="1" ht="12.75" x14ac:dyDescent="0.2">
      <c r="B142" s="13"/>
      <c r="C142" s="85"/>
      <c r="D142" s="100"/>
      <c r="E142" s="100"/>
      <c r="F142" s="100"/>
      <c r="G142" s="100"/>
      <c r="H142" s="100"/>
      <c r="I142" s="100"/>
      <c r="J142" s="100"/>
    </row>
    <row r="143" spans="1:51" s="13" customFormat="1" ht="12.75" x14ac:dyDescent="0.2">
      <c r="A143" s="76" t="s">
        <v>190</v>
      </c>
      <c r="C143" s="16"/>
      <c r="D143" s="16"/>
      <c r="E143" s="16"/>
      <c r="F143" s="16"/>
      <c r="G143" s="16"/>
      <c r="H143" s="16"/>
      <c r="I143" s="16"/>
      <c r="J143" s="16"/>
    </row>
    <row r="144" spans="1:51" s="13" customFormat="1" ht="12.75" x14ac:dyDescent="0.2">
      <c r="A144" s="59" t="s">
        <v>197</v>
      </c>
      <c r="C144" s="16"/>
      <c r="D144" s="16"/>
      <c r="E144" s="16"/>
      <c r="F144" s="16"/>
      <c r="G144" s="16"/>
      <c r="H144" s="16"/>
      <c r="I144" s="16"/>
      <c r="J144" s="16"/>
    </row>
    <row r="145" spans="1:51" s="13" customFormat="1" ht="12.75" x14ac:dyDescent="0.2">
      <c r="A145" s="77" t="s">
        <v>46</v>
      </c>
      <c r="B145" s="77" t="s">
        <v>52</v>
      </c>
      <c r="C145" s="78">
        <f t="shared" ref="C145:C151" si="140">SUM(D145:AY145)</f>
        <v>46080</v>
      </c>
      <c r="D145" s="79">
        <f>2*3*40*4</f>
        <v>960</v>
      </c>
      <c r="E145" s="79">
        <f>D145</f>
        <v>960</v>
      </c>
      <c r="F145" s="79">
        <f t="shared" ref="F145:AY150" si="141">E145</f>
        <v>960</v>
      </c>
      <c r="G145" s="79">
        <f t="shared" si="141"/>
        <v>960</v>
      </c>
      <c r="H145" s="79">
        <f t="shared" si="141"/>
        <v>960</v>
      </c>
      <c r="I145" s="79">
        <f t="shared" si="141"/>
        <v>960</v>
      </c>
      <c r="J145" s="79">
        <f t="shared" si="141"/>
        <v>960</v>
      </c>
      <c r="K145" s="79">
        <f t="shared" si="141"/>
        <v>960</v>
      </c>
      <c r="L145" s="79">
        <f t="shared" si="141"/>
        <v>960</v>
      </c>
      <c r="M145" s="79">
        <f t="shared" si="141"/>
        <v>960</v>
      </c>
      <c r="N145" s="79">
        <f t="shared" si="141"/>
        <v>960</v>
      </c>
      <c r="O145" s="79">
        <f t="shared" si="141"/>
        <v>960</v>
      </c>
      <c r="P145" s="79">
        <f t="shared" si="141"/>
        <v>960</v>
      </c>
      <c r="Q145" s="79">
        <f t="shared" si="141"/>
        <v>960</v>
      </c>
      <c r="R145" s="79">
        <f t="shared" si="141"/>
        <v>960</v>
      </c>
      <c r="S145" s="79">
        <f t="shared" si="141"/>
        <v>960</v>
      </c>
      <c r="T145" s="79">
        <f t="shared" si="141"/>
        <v>960</v>
      </c>
      <c r="U145" s="79">
        <f t="shared" si="141"/>
        <v>960</v>
      </c>
      <c r="V145" s="79">
        <f t="shared" si="141"/>
        <v>960</v>
      </c>
      <c r="W145" s="79">
        <f t="shared" si="141"/>
        <v>960</v>
      </c>
      <c r="X145" s="79">
        <f t="shared" si="141"/>
        <v>960</v>
      </c>
      <c r="Y145" s="79">
        <f t="shared" si="141"/>
        <v>960</v>
      </c>
      <c r="Z145" s="79">
        <f t="shared" si="141"/>
        <v>960</v>
      </c>
      <c r="AA145" s="79">
        <f t="shared" si="141"/>
        <v>960</v>
      </c>
      <c r="AB145" s="79">
        <f t="shared" si="141"/>
        <v>960</v>
      </c>
      <c r="AC145" s="79">
        <f t="shared" si="141"/>
        <v>960</v>
      </c>
      <c r="AD145" s="79">
        <f t="shared" si="141"/>
        <v>960</v>
      </c>
      <c r="AE145" s="79">
        <f t="shared" si="141"/>
        <v>960</v>
      </c>
      <c r="AF145" s="79">
        <f t="shared" si="141"/>
        <v>960</v>
      </c>
      <c r="AG145" s="79">
        <f t="shared" si="141"/>
        <v>960</v>
      </c>
      <c r="AH145" s="79">
        <f t="shared" si="141"/>
        <v>960</v>
      </c>
      <c r="AI145" s="79">
        <f t="shared" si="141"/>
        <v>960</v>
      </c>
      <c r="AJ145" s="79">
        <f t="shared" si="141"/>
        <v>960</v>
      </c>
      <c r="AK145" s="79">
        <f t="shared" si="141"/>
        <v>960</v>
      </c>
      <c r="AL145" s="79">
        <f t="shared" si="141"/>
        <v>960</v>
      </c>
      <c r="AM145" s="79">
        <f t="shared" si="141"/>
        <v>960</v>
      </c>
      <c r="AN145" s="79">
        <f t="shared" si="141"/>
        <v>960</v>
      </c>
      <c r="AO145" s="79">
        <f t="shared" si="141"/>
        <v>960</v>
      </c>
      <c r="AP145" s="79">
        <f t="shared" si="141"/>
        <v>960</v>
      </c>
      <c r="AQ145" s="79">
        <f t="shared" si="141"/>
        <v>960</v>
      </c>
      <c r="AR145" s="79">
        <f t="shared" si="141"/>
        <v>960</v>
      </c>
      <c r="AS145" s="79">
        <f t="shared" si="141"/>
        <v>960</v>
      </c>
      <c r="AT145" s="79">
        <f t="shared" si="141"/>
        <v>960</v>
      </c>
      <c r="AU145" s="79">
        <f t="shared" si="141"/>
        <v>960</v>
      </c>
      <c r="AV145" s="79">
        <f t="shared" si="141"/>
        <v>960</v>
      </c>
      <c r="AW145" s="79">
        <f t="shared" si="141"/>
        <v>960</v>
      </c>
      <c r="AX145" s="79">
        <f t="shared" si="141"/>
        <v>960</v>
      </c>
      <c r="AY145" s="79">
        <f t="shared" si="141"/>
        <v>960</v>
      </c>
    </row>
    <row r="146" spans="1:51" s="13" customFormat="1" ht="12.75" x14ac:dyDescent="0.2">
      <c r="A146" s="77" t="s">
        <v>47</v>
      </c>
      <c r="B146" s="77" t="s">
        <v>52</v>
      </c>
      <c r="C146" s="78">
        <f t="shared" si="140"/>
        <v>2400</v>
      </c>
      <c r="D146" s="79">
        <v>50</v>
      </c>
      <c r="E146" s="79">
        <f t="shared" ref="E146:T150" si="142">D146</f>
        <v>50</v>
      </c>
      <c r="F146" s="79">
        <f t="shared" si="142"/>
        <v>50</v>
      </c>
      <c r="G146" s="79">
        <f t="shared" si="142"/>
        <v>50</v>
      </c>
      <c r="H146" s="79">
        <f t="shared" si="142"/>
        <v>50</v>
      </c>
      <c r="I146" s="79">
        <f t="shared" si="142"/>
        <v>50</v>
      </c>
      <c r="J146" s="79">
        <f t="shared" si="142"/>
        <v>50</v>
      </c>
      <c r="K146" s="79">
        <f t="shared" si="142"/>
        <v>50</v>
      </c>
      <c r="L146" s="79">
        <f t="shared" si="142"/>
        <v>50</v>
      </c>
      <c r="M146" s="79">
        <f t="shared" si="142"/>
        <v>50</v>
      </c>
      <c r="N146" s="79">
        <f t="shared" si="142"/>
        <v>50</v>
      </c>
      <c r="O146" s="79">
        <f t="shared" si="142"/>
        <v>50</v>
      </c>
      <c r="P146" s="79">
        <f t="shared" si="142"/>
        <v>50</v>
      </c>
      <c r="Q146" s="79">
        <f t="shared" si="142"/>
        <v>50</v>
      </c>
      <c r="R146" s="79">
        <f t="shared" si="142"/>
        <v>50</v>
      </c>
      <c r="S146" s="79">
        <f t="shared" si="142"/>
        <v>50</v>
      </c>
      <c r="T146" s="79">
        <f t="shared" si="142"/>
        <v>50</v>
      </c>
      <c r="U146" s="79">
        <f t="shared" si="141"/>
        <v>50</v>
      </c>
      <c r="V146" s="79">
        <f t="shared" si="141"/>
        <v>50</v>
      </c>
      <c r="W146" s="79">
        <f t="shared" si="141"/>
        <v>50</v>
      </c>
      <c r="X146" s="79">
        <f t="shared" si="141"/>
        <v>50</v>
      </c>
      <c r="Y146" s="79">
        <f t="shared" si="141"/>
        <v>50</v>
      </c>
      <c r="Z146" s="79">
        <f t="shared" si="141"/>
        <v>50</v>
      </c>
      <c r="AA146" s="79">
        <f t="shared" si="141"/>
        <v>50</v>
      </c>
      <c r="AB146" s="79">
        <f t="shared" si="141"/>
        <v>50</v>
      </c>
      <c r="AC146" s="79">
        <f t="shared" si="141"/>
        <v>50</v>
      </c>
      <c r="AD146" s="79">
        <f t="shared" si="141"/>
        <v>50</v>
      </c>
      <c r="AE146" s="79">
        <f t="shared" si="141"/>
        <v>50</v>
      </c>
      <c r="AF146" s="79">
        <f t="shared" si="141"/>
        <v>50</v>
      </c>
      <c r="AG146" s="79">
        <f t="shared" si="141"/>
        <v>50</v>
      </c>
      <c r="AH146" s="79">
        <f t="shared" si="141"/>
        <v>50</v>
      </c>
      <c r="AI146" s="79">
        <f t="shared" si="141"/>
        <v>50</v>
      </c>
      <c r="AJ146" s="79">
        <f t="shared" si="141"/>
        <v>50</v>
      </c>
      <c r="AK146" s="79">
        <f t="shared" si="141"/>
        <v>50</v>
      </c>
      <c r="AL146" s="79">
        <f t="shared" si="141"/>
        <v>50</v>
      </c>
      <c r="AM146" s="79">
        <f t="shared" si="141"/>
        <v>50</v>
      </c>
      <c r="AN146" s="79">
        <f t="shared" si="141"/>
        <v>50</v>
      </c>
      <c r="AO146" s="79">
        <f t="shared" si="141"/>
        <v>50</v>
      </c>
      <c r="AP146" s="79">
        <f t="shared" si="141"/>
        <v>50</v>
      </c>
      <c r="AQ146" s="79">
        <f t="shared" si="141"/>
        <v>50</v>
      </c>
      <c r="AR146" s="79">
        <f t="shared" si="141"/>
        <v>50</v>
      </c>
      <c r="AS146" s="79">
        <f t="shared" si="141"/>
        <v>50</v>
      </c>
      <c r="AT146" s="79">
        <f t="shared" si="141"/>
        <v>50</v>
      </c>
      <c r="AU146" s="79">
        <f t="shared" si="141"/>
        <v>50</v>
      </c>
      <c r="AV146" s="79">
        <f t="shared" si="141"/>
        <v>50</v>
      </c>
      <c r="AW146" s="79">
        <f t="shared" si="141"/>
        <v>50</v>
      </c>
      <c r="AX146" s="79">
        <f t="shared" si="141"/>
        <v>50</v>
      </c>
      <c r="AY146" s="79">
        <f t="shared" si="141"/>
        <v>50</v>
      </c>
    </row>
    <row r="147" spans="1:51" s="13" customFormat="1" ht="12.75" x14ac:dyDescent="0.2">
      <c r="A147" s="77" t="s">
        <v>33</v>
      </c>
      <c r="B147" s="77" t="s">
        <v>52</v>
      </c>
      <c r="C147" s="78">
        <f t="shared" si="140"/>
        <v>480</v>
      </c>
      <c r="D147" s="79">
        <v>10</v>
      </c>
      <c r="E147" s="79">
        <f t="shared" si="142"/>
        <v>10</v>
      </c>
      <c r="F147" s="79">
        <f t="shared" si="141"/>
        <v>10</v>
      </c>
      <c r="G147" s="79">
        <f t="shared" si="141"/>
        <v>10</v>
      </c>
      <c r="H147" s="79">
        <f t="shared" si="141"/>
        <v>10</v>
      </c>
      <c r="I147" s="79">
        <f t="shared" si="141"/>
        <v>10</v>
      </c>
      <c r="J147" s="79">
        <f t="shared" si="141"/>
        <v>10</v>
      </c>
      <c r="K147" s="79">
        <f t="shared" si="141"/>
        <v>10</v>
      </c>
      <c r="L147" s="79">
        <f t="shared" si="141"/>
        <v>10</v>
      </c>
      <c r="M147" s="79">
        <f t="shared" si="141"/>
        <v>10</v>
      </c>
      <c r="N147" s="79">
        <f t="shared" si="141"/>
        <v>10</v>
      </c>
      <c r="O147" s="79">
        <f t="shared" si="141"/>
        <v>10</v>
      </c>
      <c r="P147" s="79">
        <f t="shared" si="141"/>
        <v>10</v>
      </c>
      <c r="Q147" s="79">
        <f t="shared" si="141"/>
        <v>10</v>
      </c>
      <c r="R147" s="79">
        <f t="shared" si="141"/>
        <v>10</v>
      </c>
      <c r="S147" s="79">
        <f t="shared" si="141"/>
        <v>10</v>
      </c>
      <c r="T147" s="79">
        <f t="shared" si="141"/>
        <v>10</v>
      </c>
      <c r="U147" s="79">
        <f t="shared" si="141"/>
        <v>10</v>
      </c>
      <c r="V147" s="79">
        <f t="shared" si="141"/>
        <v>10</v>
      </c>
      <c r="W147" s="79">
        <f t="shared" si="141"/>
        <v>10</v>
      </c>
      <c r="X147" s="79">
        <f t="shared" si="141"/>
        <v>10</v>
      </c>
      <c r="Y147" s="79">
        <f t="shared" si="141"/>
        <v>10</v>
      </c>
      <c r="Z147" s="79">
        <f t="shared" si="141"/>
        <v>10</v>
      </c>
      <c r="AA147" s="79">
        <f t="shared" si="141"/>
        <v>10</v>
      </c>
      <c r="AB147" s="79">
        <f t="shared" si="141"/>
        <v>10</v>
      </c>
      <c r="AC147" s="79">
        <f t="shared" si="141"/>
        <v>10</v>
      </c>
      <c r="AD147" s="79">
        <f t="shared" si="141"/>
        <v>10</v>
      </c>
      <c r="AE147" s="79">
        <f t="shared" si="141"/>
        <v>10</v>
      </c>
      <c r="AF147" s="79">
        <f t="shared" si="141"/>
        <v>10</v>
      </c>
      <c r="AG147" s="79">
        <f t="shared" si="141"/>
        <v>10</v>
      </c>
      <c r="AH147" s="79">
        <f t="shared" si="141"/>
        <v>10</v>
      </c>
      <c r="AI147" s="79">
        <f t="shared" si="141"/>
        <v>10</v>
      </c>
      <c r="AJ147" s="79">
        <f t="shared" si="141"/>
        <v>10</v>
      </c>
      <c r="AK147" s="79">
        <f t="shared" si="141"/>
        <v>10</v>
      </c>
      <c r="AL147" s="79">
        <f t="shared" si="141"/>
        <v>10</v>
      </c>
      <c r="AM147" s="79">
        <f t="shared" si="141"/>
        <v>10</v>
      </c>
      <c r="AN147" s="79">
        <f t="shared" si="141"/>
        <v>10</v>
      </c>
      <c r="AO147" s="79">
        <f t="shared" si="141"/>
        <v>10</v>
      </c>
      <c r="AP147" s="79">
        <f t="shared" si="141"/>
        <v>10</v>
      </c>
      <c r="AQ147" s="79">
        <f t="shared" si="141"/>
        <v>10</v>
      </c>
      <c r="AR147" s="79">
        <f t="shared" si="141"/>
        <v>10</v>
      </c>
      <c r="AS147" s="79">
        <f t="shared" si="141"/>
        <v>10</v>
      </c>
      <c r="AT147" s="79">
        <f t="shared" si="141"/>
        <v>10</v>
      </c>
      <c r="AU147" s="79">
        <f t="shared" si="141"/>
        <v>10</v>
      </c>
      <c r="AV147" s="79">
        <f t="shared" si="141"/>
        <v>10</v>
      </c>
      <c r="AW147" s="79">
        <f t="shared" si="141"/>
        <v>10</v>
      </c>
      <c r="AX147" s="79">
        <f t="shared" si="141"/>
        <v>10</v>
      </c>
      <c r="AY147" s="79">
        <f t="shared" si="141"/>
        <v>10</v>
      </c>
    </row>
    <row r="148" spans="1:51" s="13" customFormat="1" ht="12.75" x14ac:dyDescent="0.2">
      <c r="A148" s="77" t="s">
        <v>75</v>
      </c>
      <c r="B148" s="77" t="s">
        <v>52</v>
      </c>
      <c r="C148" s="78">
        <f t="shared" si="140"/>
        <v>1920</v>
      </c>
      <c r="D148" s="79">
        <f>5*8</f>
        <v>40</v>
      </c>
      <c r="E148" s="79">
        <f t="shared" si="142"/>
        <v>40</v>
      </c>
      <c r="F148" s="79">
        <f t="shared" si="141"/>
        <v>40</v>
      </c>
      <c r="G148" s="79">
        <f t="shared" si="141"/>
        <v>40</v>
      </c>
      <c r="H148" s="79">
        <f t="shared" si="141"/>
        <v>40</v>
      </c>
      <c r="I148" s="79">
        <f t="shared" si="141"/>
        <v>40</v>
      </c>
      <c r="J148" s="79">
        <f t="shared" si="141"/>
        <v>40</v>
      </c>
      <c r="K148" s="79">
        <f t="shared" si="141"/>
        <v>40</v>
      </c>
      <c r="L148" s="79">
        <f t="shared" si="141"/>
        <v>40</v>
      </c>
      <c r="M148" s="79">
        <f t="shared" si="141"/>
        <v>40</v>
      </c>
      <c r="N148" s="79">
        <f t="shared" si="141"/>
        <v>40</v>
      </c>
      <c r="O148" s="79">
        <f t="shared" si="141"/>
        <v>40</v>
      </c>
      <c r="P148" s="79">
        <f t="shared" si="141"/>
        <v>40</v>
      </c>
      <c r="Q148" s="79">
        <f t="shared" si="141"/>
        <v>40</v>
      </c>
      <c r="R148" s="79">
        <f t="shared" si="141"/>
        <v>40</v>
      </c>
      <c r="S148" s="79">
        <f t="shared" si="141"/>
        <v>40</v>
      </c>
      <c r="T148" s="79">
        <f t="shared" si="141"/>
        <v>40</v>
      </c>
      <c r="U148" s="79">
        <f t="shared" si="141"/>
        <v>40</v>
      </c>
      <c r="V148" s="79">
        <f t="shared" si="141"/>
        <v>40</v>
      </c>
      <c r="W148" s="79">
        <f t="shared" si="141"/>
        <v>40</v>
      </c>
      <c r="X148" s="79">
        <f t="shared" si="141"/>
        <v>40</v>
      </c>
      <c r="Y148" s="79">
        <f t="shared" si="141"/>
        <v>40</v>
      </c>
      <c r="Z148" s="79">
        <f t="shared" si="141"/>
        <v>40</v>
      </c>
      <c r="AA148" s="79">
        <f t="shared" si="141"/>
        <v>40</v>
      </c>
      <c r="AB148" s="79">
        <f t="shared" si="141"/>
        <v>40</v>
      </c>
      <c r="AC148" s="79">
        <f t="shared" si="141"/>
        <v>40</v>
      </c>
      <c r="AD148" s="79">
        <f t="shared" si="141"/>
        <v>40</v>
      </c>
      <c r="AE148" s="79">
        <f t="shared" si="141"/>
        <v>40</v>
      </c>
      <c r="AF148" s="79">
        <f t="shared" si="141"/>
        <v>40</v>
      </c>
      <c r="AG148" s="79">
        <f t="shared" si="141"/>
        <v>40</v>
      </c>
      <c r="AH148" s="79">
        <f t="shared" si="141"/>
        <v>40</v>
      </c>
      <c r="AI148" s="79">
        <f t="shared" si="141"/>
        <v>40</v>
      </c>
      <c r="AJ148" s="79">
        <f t="shared" si="141"/>
        <v>40</v>
      </c>
      <c r="AK148" s="79">
        <f t="shared" si="141"/>
        <v>40</v>
      </c>
      <c r="AL148" s="79">
        <f t="shared" si="141"/>
        <v>40</v>
      </c>
      <c r="AM148" s="79">
        <f t="shared" si="141"/>
        <v>40</v>
      </c>
      <c r="AN148" s="79">
        <f t="shared" si="141"/>
        <v>40</v>
      </c>
      <c r="AO148" s="79">
        <f t="shared" si="141"/>
        <v>40</v>
      </c>
      <c r="AP148" s="79">
        <f t="shared" si="141"/>
        <v>40</v>
      </c>
      <c r="AQ148" s="79">
        <f t="shared" si="141"/>
        <v>40</v>
      </c>
      <c r="AR148" s="79">
        <f t="shared" si="141"/>
        <v>40</v>
      </c>
      <c r="AS148" s="79">
        <f t="shared" si="141"/>
        <v>40</v>
      </c>
      <c r="AT148" s="79">
        <f t="shared" si="141"/>
        <v>40</v>
      </c>
      <c r="AU148" s="79">
        <f t="shared" si="141"/>
        <v>40</v>
      </c>
      <c r="AV148" s="79">
        <f t="shared" si="141"/>
        <v>40</v>
      </c>
      <c r="AW148" s="79">
        <f t="shared" si="141"/>
        <v>40</v>
      </c>
      <c r="AX148" s="79">
        <f t="shared" si="141"/>
        <v>40</v>
      </c>
      <c r="AY148" s="79">
        <f t="shared" si="141"/>
        <v>40</v>
      </c>
    </row>
    <row r="149" spans="1:51" s="13" customFormat="1" ht="12.75" x14ac:dyDescent="0.2">
      <c r="A149" s="77" t="s">
        <v>76</v>
      </c>
      <c r="B149" s="77" t="s">
        <v>52</v>
      </c>
      <c r="C149" s="78">
        <f t="shared" si="140"/>
        <v>4800</v>
      </c>
      <c r="D149" s="79">
        <v>100</v>
      </c>
      <c r="E149" s="79">
        <f t="shared" si="142"/>
        <v>100</v>
      </c>
      <c r="F149" s="79">
        <f t="shared" si="141"/>
        <v>100</v>
      </c>
      <c r="G149" s="79">
        <f t="shared" si="141"/>
        <v>100</v>
      </c>
      <c r="H149" s="79">
        <f t="shared" si="141"/>
        <v>100</v>
      </c>
      <c r="I149" s="79">
        <f t="shared" si="141"/>
        <v>100</v>
      </c>
      <c r="J149" s="79">
        <f t="shared" si="141"/>
        <v>100</v>
      </c>
      <c r="K149" s="79">
        <f t="shared" si="141"/>
        <v>100</v>
      </c>
      <c r="L149" s="79">
        <f t="shared" si="141"/>
        <v>100</v>
      </c>
      <c r="M149" s="79">
        <f t="shared" si="141"/>
        <v>100</v>
      </c>
      <c r="N149" s="79">
        <f t="shared" si="141"/>
        <v>100</v>
      </c>
      <c r="O149" s="79">
        <f t="shared" si="141"/>
        <v>100</v>
      </c>
      <c r="P149" s="79">
        <f t="shared" si="141"/>
        <v>100</v>
      </c>
      <c r="Q149" s="79">
        <f t="shared" si="141"/>
        <v>100</v>
      </c>
      <c r="R149" s="79">
        <f t="shared" si="141"/>
        <v>100</v>
      </c>
      <c r="S149" s="79">
        <f t="shared" si="141"/>
        <v>100</v>
      </c>
      <c r="T149" s="79">
        <f t="shared" si="141"/>
        <v>100</v>
      </c>
      <c r="U149" s="79">
        <f t="shared" si="141"/>
        <v>100</v>
      </c>
      <c r="V149" s="79">
        <f t="shared" si="141"/>
        <v>100</v>
      </c>
      <c r="W149" s="79">
        <f t="shared" si="141"/>
        <v>100</v>
      </c>
      <c r="X149" s="79">
        <f t="shared" si="141"/>
        <v>100</v>
      </c>
      <c r="Y149" s="79">
        <f t="shared" si="141"/>
        <v>100</v>
      </c>
      <c r="Z149" s="79">
        <f t="shared" si="141"/>
        <v>100</v>
      </c>
      <c r="AA149" s="79">
        <f t="shared" si="141"/>
        <v>100</v>
      </c>
      <c r="AB149" s="79">
        <f t="shared" si="141"/>
        <v>100</v>
      </c>
      <c r="AC149" s="79">
        <f t="shared" si="141"/>
        <v>100</v>
      </c>
      <c r="AD149" s="79">
        <f t="shared" si="141"/>
        <v>100</v>
      </c>
      <c r="AE149" s="79">
        <f t="shared" si="141"/>
        <v>100</v>
      </c>
      <c r="AF149" s="79">
        <f t="shared" si="141"/>
        <v>100</v>
      </c>
      <c r="AG149" s="79">
        <f t="shared" si="141"/>
        <v>100</v>
      </c>
      <c r="AH149" s="79">
        <f t="shared" si="141"/>
        <v>100</v>
      </c>
      <c r="AI149" s="79">
        <f t="shared" si="141"/>
        <v>100</v>
      </c>
      <c r="AJ149" s="79">
        <f t="shared" si="141"/>
        <v>100</v>
      </c>
      <c r="AK149" s="79">
        <f t="shared" si="141"/>
        <v>100</v>
      </c>
      <c r="AL149" s="79">
        <f t="shared" si="141"/>
        <v>100</v>
      </c>
      <c r="AM149" s="79">
        <f t="shared" si="141"/>
        <v>100</v>
      </c>
      <c r="AN149" s="79">
        <f t="shared" si="141"/>
        <v>100</v>
      </c>
      <c r="AO149" s="79">
        <f t="shared" si="141"/>
        <v>100</v>
      </c>
      <c r="AP149" s="79">
        <f t="shared" si="141"/>
        <v>100</v>
      </c>
      <c r="AQ149" s="79">
        <f t="shared" si="141"/>
        <v>100</v>
      </c>
      <c r="AR149" s="79">
        <f t="shared" si="141"/>
        <v>100</v>
      </c>
      <c r="AS149" s="79">
        <f t="shared" si="141"/>
        <v>100</v>
      </c>
      <c r="AT149" s="79">
        <f t="shared" si="141"/>
        <v>100</v>
      </c>
      <c r="AU149" s="79">
        <f t="shared" si="141"/>
        <v>100</v>
      </c>
      <c r="AV149" s="79">
        <f t="shared" si="141"/>
        <v>100</v>
      </c>
      <c r="AW149" s="79">
        <f t="shared" si="141"/>
        <v>100</v>
      </c>
      <c r="AX149" s="79">
        <f t="shared" si="141"/>
        <v>100</v>
      </c>
      <c r="AY149" s="79">
        <f t="shared" si="141"/>
        <v>100</v>
      </c>
    </row>
    <row r="150" spans="1:51" s="13" customFormat="1" ht="12.75" x14ac:dyDescent="0.2">
      <c r="A150" s="77" t="s">
        <v>30</v>
      </c>
      <c r="B150" s="77" t="s">
        <v>52</v>
      </c>
      <c r="C150" s="78">
        <f t="shared" si="140"/>
        <v>2400</v>
      </c>
      <c r="D150" s="79">
        <v>50</v>
      </c>
      <c r="E150" s="79">
        <f t="shared" si="142"/>
        <v>50</v>
      </c>
      <c r="F150" s="79">
        <f t="shared" si="141"/>
        <v>50</v>
      </c>
      <c r="G150" s="79">
        <f t="shared" si="141"/>
        <v>50</v>
      </c>
      <c r="H150" s="79">
        <f t="shared" si="141"/>
        <v>50</v>
      </c>
      <c r="I150" s="79">
        <f t="shared" si="141"/>
        <v>50</v>
      </c>
      <c r="J150" s="79">
        <f t="shared" si="141"/>
        <v>50</v>
      </c>
      <c r="K150" s="79">
        <f t="shared" si="141"/>
        <v>50</v>
      </c>
      <c r="L150" s="79">
        <f t="shared" si="141"/>
        <v>50</v>
      </c>
      <c r="M150" s="79">
        <f t="shared" si="141"/>
        <v>50</v>
      </c>
      <c r="N150" s="79">
        <f t="shared" si="141"/>
        <v>50</v>
      </c>
      <c r="O150" s="79">
        <f t="shared" si="141"/>
        <v>50</v>
      </c>
      <c r="P150" s="79">
        <f t="shared" si="141"/>
        <v>50</v>
      </c>
      <c r="Q150" s="79">
        <f t="shared" si="141"/>
        <v>50</v>
      </c>
      <c r="R150" s="79">
        <f t="shared" si="141"/>
        <v>50</v>
      </c>
      <c r="S150" s="79">
        <f t="shared" si="141"/>
        <v>50</v>
      </c>
      <c r="T150" s="79">
        <f t="shared" si="141"/>
        <v>50</v>
      </c>
      <c r="U150" s="79">
        <f t="shared" si="141"/>
        <v>50</v>
      </c>
      <c r="V150" s="79">
        <f t="shared" si="141"/>
        <v>50</v>
      </c>
      <c r="W150" s="79">
        <f t="shared" si="141"/>
        <v>50</v>
      </c>
      <c r="X150" s="79">
        <f t="shared" si="141"/>
        <v>50</v>
      </c>
      <c r="Y150" s="79">
        <f t="shared" si="141"/>
        <v>50</v>
      </c>
      <c r="Z150" s="79">
        <f t="shared" si="141"/>
        <v>50</v>
      </c>
      <c r="AA150" s="79">
        <f t="shared" si="141"/>
        <v>50</v>
      </c>
      <c r="AB150" s="79">
        <f t="shared" si="141"/>
        <v>50</v>
      </c>
      <c r="AC150" s="79">
        <f t="shared" si="141"/>
        <v>50</v>
      </c>
      <c r="AD150" s="79">
        <f t="shared" si="141"/>
        <v>50</v>
      </c>
      <c r="AE150" s="79">
        <f t="shared" ref="AE150:AY150" si="143">AD150</f>
        <v>50</v>
      </c>
      <c r="AF150" s="79">
        <f t="shared" si="143"/>
        <v>50</v>
      </c>
      <c r="AG150" s="79">
        <f t="shared" si="143"/>
        <v>50</v>
      </c>
      <c r="AH150" s="79">
        <f t="shared" si="143"/>
        <v>50</v>
      </c>
      <c r="AI150" s="79">
        <f t="shared" si="143"/>
        <v>50</v>
      </c>
      <c r="AJ150" s="79">
        <f t="shared" si="143"/>
        <v>50</v>
      </c>
      <c r="AK150" s="79">
        <f t="shared" si="143"/>
        <v>50</v>
      </c>
      <c r="AL150" s="79">
        <f t="shared" si="143"/>
        <v>50</v>
      </c>
      <c r="AM150" s="79">
        <f t="shared" si="143"/>
        <v>50</v>
      </c>
      <c r="AN150" s="79">
        <f t="shared" si="143"/>
        <v>50</v>
      </c>
      <c r="AO150" s="79">
        <f t="shared" si="143"/>
        <v>50</v>
      </c>
      <c r="AP150" s="79">
        <f t="shared" si="143"/>
        <v>50</v>
      </c>
      <c r="AQ150" s="79">
        <f t="shared" si="143"/>
        <v>50</v>
      </c>
      <c r="AR150" s="79">
        <f t="shared" si="143"/>
        <v>50</v>
      </c>
      <c r="AS150" s="79">
        <f t="shared" si="143"/>
        <v>50</v>
      </c>
      <c r="AT150" s="79">
        <f t="shared" si="143"/>
        <v>50</v>
      </c>
      <c r="AU150" s="79">
        <f t="shared" si="143"/>
        <v>50</v>
      </c>
      <c r="AV150" s="79">
        <f t="shared" si="143"/>
        <v>50</v>
      </c>
      <c r="AW150" s="79">
        <f t="shared" si="143"/>
        <v>50</v>
      </c>
      <c r="AX150" s="79">
        <f t="shared" si="143"/>
        <v>50</v>
      </c>
      <c r="AY150" s="79">
        <f t="shared" si="143"/>
        <v>50</v>
      </c>
    </row>
    <row r="151" spans="1:51" s="24" customFormat="1" ht="12.75" x14ac:dyDescent="0.2">
      <c r="A151" s="95" t="s">
        <v>74</v>
      </c>
      <c r="B151" s="96" t="s">
        <v>52</v>
      </c>
      <c r="C151" s="78">
        <f t="shared" si="140"/>
        <v>58080</v>
      </c>
      <c r="D151" s="97">
        <f t="shared" ref="D151" si="144">SUM(D145:D150)</f>
        <v>1210</v>
      </c>
      <c r="E151" s="97">
        <f t="shared" ref="E151" si="145">SUM(E145:E150)</f>
        <v>1210</v>
      </c>
      <c r="F151" s="97">
        <f t="shared" ref="F151" si="146">SUM(F145:F150)</f>
        <v>1210</v>
      </c>
      <c r="G151" s="97">
        <f t="shared" ref="G151" si="147">SUM(G145:G150)</f>
        <v>1210</v>
      </c>
      <c r="H151" s="97">
        <f t="shared" ref="H151" si="148">SUM(H145:H150)</f>
        <v>1210</v>
      </c>
      <c r="I151" s="97">
        <f t="shared" ref="I151" si="149">SUM(I145:I150)</f>
        <v>1210</v>
      </c>
      <c r="J151" s="97">
        <f t="shared" ref="J151" si="150">SUM(J145:J150)</f>
        <v>1210</v>
      </c>
      <c r="K151" s="97">
        <f t="shared" ref="K151" si="151">SUM(K145:K150)</f>
        <v>1210</v>
      </c>
      <c r="L151" s="97">
        <f t="shared" ref="L151" si="152">SUM(L145:L150)</f>
        <v>1210</v>
      </c>
      <c r="M151" s="97">
        <f t="shared" ref="M151" si="153">SUM(M145:M150)</f>
        <v>1210</v>
      </c>
      <c r="N151" s="97">
        <f t="shared" ref="N151" si="154">SUM(N145:N150)</f>
        <v>1210</v>
      </c>
      <c r="O151" s="97">
        <f t="shared" ref="O151" si="155">SUM(O145:O150)</f>
        <v>1210</v>
      </c>
      <c r="P151" s="97">
        <f t="shared" ref="P151" si="156">SUM(P145:P150)</f>
        <v>1210</v>
      </c>
      <c r="Q151" s="97">
        <f t="shared" ref="Q151" si="157">SUM(Q145:Q150)</f>
        <v>1210</v>
      </c>
      <c r="R151" s="97">
        <f t="shared" ref="R151" si="158">SUM(R145:R150)</f>
        <v>1210</v>
      </c>
      <c r="S151" s="97">
        <f t="shared" ref="S151" si="159">SUM(S145:S150)</f>
        <v>1210</v>
      </c>
      <c r="T151" s="97">
        <f t="shared" ref="T151" si="160">SUM(T145:T150)</f>
        <v>1210</v>
      </c>
      <c r="U151" s="97">
        <f t="shared" ref="U151" si="161">SUM(U145:U150)</f>
        <v>1210</v>
      </c>
      <c r="V151" s="97">
        <f t="shared" ref="V151" si="162">SUM(V145:V150)</f>
        <v>1210</v>
      </c>
      <c r="W151" s="97">
        <f t="shared" ref="W151" si="163">SUM(W145:W150)</f>
        <v>1210</v>
      </c>
      <c r="X151" s="97">
        <f t="shared" ref="X151" si="164">SUM(X145:X150)</f>
        <v>1210</v>
      </c>
      <c r="Y151" s="97">
        <f t="shared" ref="Y151" si="165">SUM(Y145:Y150)</f>
        <v>1210</v>
      </c>
      <c r="Z151" s="97">
        <f t="shared" ref="Z151" si="166">SUM(Z145:Z150)</f>
        <v>1210</v>
      </c>
      <c r="AA151" s="97">
        <f t="shared" ref="AA151" si="167">SUM(AA145:AA150)</f>
        <v>1210</v>
      </c>
      <c r="AB151" s="97">
        <f t="shared" ref="AB151" si="168">SUM(AB145:AB150)</f>
        <v>1210</v>
      </c>
      <c r="AC151" s="97">
        <f t="shared" ref="AC151" si="169">SUM(AC145:AC150)</f>
        <v>1210</v>
      </c>
      <c r="AD151" s="97">
        <f t="shared" ref="AD151" si="170">SUM(AD145:AD150)</f>
        <v>1210</v>
      </c>
      <c r="AE151" s="97">
        <f t="shared" ref="AE151" si="171">SUM(AE145:AE150)</f>
        <v>1210</v>
      </c>
      <c r="AF151" s="97">
        <f t="shared" ref="AF151" si="172">SUM(AF145:AF150)</f>
        <v>1210</v>
      </c>
      <c r="AG151" s="97">
        <f t="shared" ref="AG151" si="173">SUM(AG145:AG150)</f>
        <v>1210</v>
      </c>
      <c r="AH151" s="97">
        <f t="shared" ref="AH151" si="174">SUM(AH145:AH150)</f>
        <v>1210</v>
      </c>
      <c r="AI151" s="97">
        <f t="shared" ref="AI151" si="175">SUM(AI145:AI150)</f>
        <v>1210</v>
      </c>
      <c r="AJ151" s="97">
        <f t="shared" ref="AJ151" si="176">SUM(AJ145:AJ150)</f>
        <v>1210</v>
      </c>
      <c r="AK151" s="97">
        <f t="shared" ref="AK151" si="177">SUM(AK145:AK150)</f>
        <v>1210</v>
      </c>
      <c r="AL151" s="97">
        <f t="shared" ref="AL151" si="178">SUM(AL145:AL150)</f>
        <v>1210</v>
      </c>
      <c r="AM151" s="97">
        <f t="shared" ref="AM151" si="179">SUM(AM145:AM150)</f>
        <v>1210</v>
      </c>
      <c r="AN151" s="97">
        <f t="shared" ref="AN151" si="180">SUM(AN145:AN150)</f>
        <v>1210</v>
      </c>
      <c r="AO151" s="97">
        <f t="shared" ref="AO151" si="181">SUM(AO145:AO150)</f>
        <v>1210</v>
      </c>
      <c r="AP151" s="97">
        <f t="shared" ref="AP151" si="182">SUM(AP145:AP150)</f>
        <v>1210</v>
      </c>
      <c r="AQ151" s="97">
        <f t="shared" ref="AQ151" si="183">SUM(AQ145:AQ150)</f>
        <v>1210</v>
      </c>
      <c r="AR151" s="97">
        <f t="shared" ref="AR151" si="184">SUM(AR145:AR150)</f>
        <v>1210</v>
      </c>
      <c r="AS151" s="97">
        <f t="shared" ref="AS151" si="185">SUM(AS145:AS150)</f>
        <v>1210</v>
      </c>
      <c r="AT151" s="97">
        <f t="shared" ref="AT151" si="186">SUM(AT145:AT150)</f>
        <v>1210</v>
      </c>
      <c r="AU151" s="97">
        <f t="shared" ref="AU151" si="187">SUM(AU145:AU150)</f>
        <v>1210</v>
      </c>
      <c r="AV151" s="97">
        <f t="shared" ref="AV151" si="188">SUM(AV145:AV150)</f>
        <v>1210</v>
      </c>
      <c r="AW151" s="97">
        <f t="shared" ref="AW151" si="189">SUM(AW145:AW150)</f>
        <v>1210</v>
      </c>
      <c r="AX151" s="97">
        <f t="shared" ref="AX151" si="190">SUM(AX145:AX150)</f>
        <v>1210</v>
      </c>
      <c r="AY151" s="97">
        <f t="shared" ref="AY151" si="191">SUM(AY145:AY150)</f>
        <v>1210</v>
      </c>
    </row>
    <row r="152" spans="1:51" s="84" customFormat="1" ht="12.75" x14ac:dyDescent="0.2">
      <c r="B152" s="13"/>
      <c r="C152" s="85"/>
      <c r="D152" s="100"/>
      <c r="E152" s="100"/>
      <c r="F152" s="100"/>
      <c r="G152" s="100"/>
      <c r="H152" s="100"/>
      <c r="I152" s="100"/>
      <c r="J152" s="100"/>
    </row>
    <row r="153" spans="1:51" s="84" customFormat="1" ht="12.75" x14ac:dyDescent="0.2">
      <c r="B153" s="13"/>
      <c r="C153" s="85"/>
      <c r="D153" s="100"/>
      <c r="E153" s="100"/>
      <c r="F153" s="100"/>
      <c r="G153" s="100"/>
      <c r="H153" s="100"/>
      <c r="I153" s="100"/>
      <c r="J153" s="100"/>
    </row>
    <row r="154" spans="1:51" s="13" customFormat="1" ht="12.75" x14ac:dyDescent="0.2">
      <c r="A154" s="76" t="s">
        <v>191</v>
      </c>
      <c r="C154" s="16"/>
      <c r="D154" s="16"/>
      <c r="E154" s="16"/>
      <c r="F154" s="16"/>
      <c r="G154" s="16"/>
      <c r="H154" s="16"/>
      <c r="I154" s="16"/>
      <c r="J154" s="16"/>
    </row>
    <row r="155" spans="1:51" s="13" customFormat="1" ht="12.75" x14ac:dyDescent="0.2">
      <c r="A155" s="59" t="s">
        <v>169</v>
      </c>
      <c r="C155" s="16"/>
      <c r="D155" s="16"/>
      <c r="E155" s="16"/>
      <c r="F155" s="16"/>
      <c r="G155" s="16"/>
      <c r="H155" s="16"/>
      <c r="I155" s="16"/>
      <c r="J155" s="16"/>
    </row>
    <row r="156" spans="1:51" s="13" customFormat="1" ht="12.75" x14ac:dyDescent="0.2">
      <c r="A156" s="77" t="s">
        <v>167</v>
      </c>
      <c r="B156" s="77" t="s">
        <v>52</v>
      </c>
      <c r="C156" s="78">
        <f>SUM(D156:AY156)</f>
        <v>864000</v>
      </c>
      <c r="D156" s="235">
        <f>3*6000</f>
        <v>18000</v>
      </c>
      <c r="E156" s="235">
        <f>D156</f>
        <v>18000</v>
      </c>
      <c r="F156" s="235">
        <f t="shared" ref="F156:AY156" si="192">E156</f>
        <v>18000</v>
      </c>
      <c r="G156" s="235">
        <f t="shared" si="192"/>
        <v>18000</v>
      </c>
      <c r="H156" s="235">
        <f t="shared" si="192"/>
        <v>18000</v>
      </c>
      <c r="I156" s="235">
        <f t="shared" si="192"/>
        <v>18000</v>
      </c>
      <c r="J156" s="235">
        <f t="shared" si="192"/>
        <v>18000</v>
      </c>
      <c r="K156" s="235">
        <f t="shared" si="192"/>
        <v>18000</v>
      </c>
      <c r="L156" s="235">
        <f t="shared" si="192"/>
        <v>18000</v>
      </c>
      <c r="M156" s="235">
        <f t="shared" si="192"/>
        <v>18000</v>
      </c>
      <c r="N156" s="235">
        <f t="shared" si="192"/>
        <v>18000</v>
      </c>
      <c r="O156" s="235">
        <f t="shared" si="192"/>
        <v>18000</v>
      </c>
      <c r="P156" s="235">
        <f t="shared" si="192"/>
        <v>18000</v>
      </c>
      <c r="Q156" s="235">
        <f t="shared" si="192"/>
        <v>18000</v>
      </c>
      <c r="R156" s="235">
        <f t="shared" si="192"/>
        <v>18000</v>
      </c>
      <c r="S156" s="235">
        <f t="shared" si="192"/>
        <v>18000</v>
      </c>
      <c r="T156" s="235">
        <f t="shared" si="192"/>
        <v>18000</v>
      </c>
      <c r="U156" s="235">
        <f t="shared" si="192"/>
        <v>18000</v>
      </c>
      <c r="V156" s="235">
        <f t="shared" si="192"/>
        <v>18000</v>
      </c>
      <c r="W156" s="235">
        <f t="shared" si="192"/>
        <v>18000</v>
      </c>
      <c r="X156" s="235">
        <f t="shared" si="192"/>
        <v>18000</v>
      </c>
      <c r="Y156" s="235">
        <f t="shared" si="192"/>
        <v>18000</v>
      </c>
      <c r="Z156" s="235">
        <f t="shared" si="192"/>
        <v>18000</v>
      </c>
      <c r="AA156" s="235">
        <f t="shared" si="192"/>
        <v>18000</v>
      </c>
      <c r="AB156" s="235">
        <f t="shared" si="192"/>
        <v>18000</v>
      </c>
      <c r="AC156" s="235">
        <f t="shared" si="192"/>
        <v>18000</v>
      </c>
      <c r="AD156" s="235">
        <f t="shared" si="192"/>
        <v>18000</v>
      </c>
      <c r="AE156" s="235">
        <f t="shared" si="192"/>
        <v>18000</v>
      </c>
      <c r="AF156" s="235">
        <f t="shared" si="192"/>
        <v>18000</v>
      </c>
      <c r="AG156" s="235">
        <f t="shared" si="192"/>
        <v>18000</v>
      </c>
      <c r="AH156" s="235">
        <f t="shared" si="192"/>
        <v>18000</v>
      </c>
      <c r="AI156" s="235">
        <f t="shared" si="192"/>
        <v>18000</v>
      </c>
      <c r="AJ156" s="235">
        <f t="shared" si="192"/>
        <v>18000</v>
      </c>
      <c r="AK156" s="235">
        <f t="shared" si="192"/>
        <v>18000</v>
      </c>
      <c r="AL156" s="235">
        <f t="shared" si="192"/>
        <v>18000</v>
      </c>
      <c r="AM156" s="235">
        <f t="shared" si="192"/>
        <v>18000</v>
      </c>
      <c r="AN156" s="235">
        <f t="shared" si="192"/>
        <v>18000</v>
      </c>
      <c r="AO156" s="235">
        <f t="shared" si="192"/>
        <v>18000</v>
      </c>
      <c r="AP156" s="235">
        <f t="shared" si="192"/>
        <v>18000</v>
      </c>
      <c r="AQ156" s="235">
        <f t="shared" si="192"/>
        <v>18000</v>
      </c>
      <c r="AR156" s="235">
        <f t="shared" si="192"/>
        <v>18000</v>
      </c>
      <c r="AS156" s="235">
        <f t="shared" si="192"/>
        <v>18000</v>
      </c>
      <c r="AT156" s="235">
        <f t="shared" si="192"/>
        <v>18000</v>
      </c>
      <c r="AU156" s="235">
        <f t="shared" si="192"/>
        <v>18000</v>
      </c>
      <c r="AV156" s="235">
        <f t="shared" si="192"/>
        <v>18000</v>
      </c>
      <c r="AW156" s="235">
        <f t="shared" si="192"/>
        <v>18000</v>
      </c>
      <c r="AX156" s="235">
        <f t="shared" si="192"/>
        <v>18000</v>
      </c>
      <c r="AY156" s="235">
        <f t="shared" si="192"/>
        <v>18000</v>
      </c>
    </row>
    <row r="157" spans="1:51" s="24" customFormat="1" ht="13.5" thickBot="1" x14ac:dyDescent="0.25">
      <c r="A157" s="96" t="str">
        <f>A154</f>
        <v>3d.  working capital needed</v>
      </c>
      <c r="B157" s="96" t="s">
        <v>52</v>
      </c>
      <c r="C157" s="85">
        <f>SUM(D157:AY157)</f>
        <v>756000</v>
      </c>
      <c r="D157" s="234">
        <f t="shared" ref="D157:AY157" si="193">IF(E107=0,0,D156)</f>
        <v>0</v>
      </c>
      <c r="E157" s="234">
        <f t="shared" si="193"/>
        <v>0</v>
      </c>
      <c r="F157" s="234">
        <f t="shared" si="193"/>
        <v>0</v>
      </c>
      <c r="G157" s="234">
        <f t="shared" si="193"/>
        <v>0</v>
      </c>
      <c r="H157" s="234">
        <f t="shared" si="193"/>
        <v>0</v>
      </c>
      <c r="I157" s="234">
        <f t="shared" si="193"/>
        <v>18000</v>
      </c>
      <c r="J157" s="234">
        <f t="shared" si="193"/>
        <v>18000</v>
      </c>
      <c r="K157" s="234">
        <f t="shared" si="193"/>
        <v>18000</v>
      </c>
      <c r="L157" s="234">
        <f t="shared" si="193"/>
        <v>18000</v>
      </c>
      <c r="M157" s="234">
        <f t="shared" si="193"/>
        <v>18000</v>
      </c>
      <c r="N157" s="234">
        <f t="shared" si="193"/>
        <v>18000</v>
      </c>
      <c r="O157" s="234">
        <f t="shared" si="193"/>
        <v>18000</v>
      </c>
      <c r="P157" s="234">
        <f t="shared" si="193"/>
        <v>18000</v>
      </c>
      <c r="Q157" s="234">
        <f t="shared" si="193"/>
        <v>18000</v>
      </c>
      <c r="R157" s="234">
        <f t="shared" si="193"/>
        <v>18000</v>
      </c>
      <c r="S157" s="234">
        <f t="shared" si="193"/>
        <v>18000</v>
      </c>
      <c r="T157" s="234">
        <f t="shared" si="193"/>
        <v>18000</v>
      </c>
      <c r="U157" s="234">
        <f t="shared" si="193"/>
        <v>18000</v>
      </c>
      <c r="V157" s="234">
        <f t="shared" si="193"/>
        <v>18000</v>
      </c>
      <c r="W157" s="234">
        <f t="shared" si="193"/>
        <v>18000</v>
      </c>
      <c r="X157" s="234">
        <f t="shared" si="193"/>
        <v>18000</v>
      </c>
      <c r="Y157" s="234">
        <f t="shared" si="193"/>
        <v>18000</v>
      </c>
      <c r="Z157" s="234">
        <f t="shared" si="193"/>
        <v>18000</v>
      </c>
      <c r="AA157" s="234">
        <f t="shared" si="193"/>
        <v>18000</v>
      </c>
      <c r="AB157" s="234">
        <f t="shared" si="193"/>
        <v>18000</v>
      </c>
      <c r="AC157" s="234">
        <f t="shared" si="193"/>
        <v>18000</v>
      </c>
      <c r="AD157" s="234">
        <f t="shared" si="193"/>
        <v>18000</v>
      </c>
      <c r="AE157" s="234">
        <f t="shared" si="193"/>
        <v>18000</v>
      </c>
      <c r="AF157" s="234">
        <f t="shared" si="193"/>
        <v>18000</v>
      </c>
      <c r="AG157" s="234">
        <f t="shared" si="193"/>
        <v>18000</v>
      </c>
      <c r="AH157" s="234">
        <f t="shared" si="193"/>
        <v>18000</v>
      </c>
      <c r="AI157" s="234">
        <f t="shared" si="193"/>
        <v>18000</v>
      </c>
      <c r="AJ157" s="234">
        <f t="shared" si="193"/>
        <v>18000</v>
      </c>
      <c r="AK157" s="234">
        <f t="shared" si="193"/>
        <v>18000</v>
      </c>
      <c r="AL157" s="234">
        <f t="shared" si="193"/>
        <v>18000</v>
      </c>
      <c r="AM157" s="234">
        <f t="shared" si="193"/>
        <v>18000</v>
      </c>
      <c r="AN157" s="234">
        <f t="shared" si="193"/>
        <v>18000</v>
      </c>
      <c r="AO157" s="234">
        <f t="shared" si="193"/>
        <v>18000</v>
      </c>
      <c r="AP157" s="234">
        <f t="shared" si="193"/>
        <v>18000</v>
      </c>
      <c r="AQ157" s="234">
        <f t="shared" si="193"/>
        <v>18000</v>
      </c>
      <c r="AR157" s="234">
        <f t="shared" si="193"/>
        <v>18000</v>
      </c>
      <c r="AS157" s="234">
        <f t="shared" si="193"/>
        <v>18000</v>
      </c>
      <c r="AT157" s="234">
        <f t="shared" si="193"/>
        <v>18000</v>
      </c>
      <c r="AU157" s="234">
        <f t="shared" si="193"/>
        <v>18000</v>
      </c>
      <c r="AV157" s="234">
        <f t="shared" si="193"/>
        <v>18000</v>
      </c>
      <c r="AW157" s="234">
        <f t="shared" si="193"/>
        <v>18000</v>
      </c>
      <c r="AX157" s="234">
        <f t="shared" si="193"/>
        <v>18000</v>
      </c>
      <c r="AY157" s="234">
        <f t="shared" si="193"/>
        <v>0</v>
      </c>
    </row>
    <row r="158" spans="1:51" s="24" customFormat="1" ht="13.5" thickBot="1" x14ac:dyDescent="0.25">
      <c r="A158" s="95" t="s">
        <v>168</v>
      </c>
      <c r="B158" s="96" t="s">
        <v>52</v>
      </c>
      <c r="C158" s="78">
        <f>SUM(D158:AY158)</f>
        <v>0</v>
      </c>
      <c r="D158" s="120">
        <f>D157</f>
        <v>0</v>
      </c>
      <c r="E158" s="236">
        <f>E157-D157</f>
        <v>0</v>
      </c>
      <c r="F158" s="236">
        <f t="shared" ref="F158:AY158" si="194">F157-E157</f>
        <v>0</v>
      </c>
      <c r="G158" s="236">
        <f t="shared" si="194"/>
        <v>0</v>
      </c>
      <c r="H158" s="236">
        <f t="shared" si="194"/>
        <v>0</v>
      </c>
      <c r="I158" s="236">
        <f t="shared" si="194"/>
        <v>18000</v>
      </c>
      <c r="J158" s="236">
        <f t="shared" si="194"/>
        <v>0</v>
      </c>
      <c r="K158" s="236">
        <f t="shared" si="194"/>
        <v>0</v>
      </c>
      <c r="L158" s="236">
        <f t="shared" si="194"/>
        <v>0</v>
      </c>
      <c r="M158" s="236">
        <f t="shared" si="194"/>
        <v>0</v>
      </c>
      <c r="N158" s="236">
        <f t="shared" si="194"/>
        <v>0</v>
      </c>
      <c r="O158" s="236">
        <f t="shared" si="194"/>
        <v>0</v>
      </c>
      <c r="P158" s="236">
        <f t="shared" si="194"/>
        <v>0</v>
      </c>
      <c r="Q158" s="236">
        <f t="shared" si="194"/>
        <v>0</v>
      </c>
      <c r="R158" s="236">
        <f t="shared" si="194"/>
        <v>0</v>
      </c>
      <c r="S158" s="236">
        <f t="shared" si="194"/>
        <v>0</v>
      </c>
      <c r="T158" s="236">
        <f t="shared" si="194"/>
        <v>0</v>
      </c>
      <c r="U158" s="236">
        <f t="shared" si="194"/>
        <v>0</v>
      </c>
      <c r="V158" s="236">
        <f t="shared" si="194"/>
        <v>0</v>
      </c>
      <c r="W158" s="236">
        <f t="shared" si="194"/>
        <v>0</v>
      </c>
      <c r="X158" s="236">
        <f t="shared" si="194"/>
        <v>0</v>
      </c>
      <c r="Y158" s="236">
        <f t="shared" si="194"/>
        <v>0</v>
      </c>
      <c r="Z158" s="236">
        <f t="shared" si="194"/>
        <v>0</v>
      </c>
      <c r="AA158" s="236">
        <f t="shared" si="194"/>
        <v>0</v>
      </c>
      <c r="AB158" s="236">
        <f t="shared" si="194"/>
        <v>0</v>
      </c>
      <c r="AC158" s="236">
        <f t="shared" si="194"/>
        <v>0</v>
      </c>
      <c r="AD158" s="236">
        <f t="shared" si="194"/>
        <v>0</v>
      </c>
      <c r="AE158" s="236">
        <f t="shared" si="194"/>
        <v>0</v>
      </c>
      <c r="AF158" s="236">
        <f t="shared" si="194"/>
        <v>0</v>
      </c>
      <c r="AG158" s="236">
        <f t="shared" si="194"/>
        <v>0</v>
      </c>
      <c r="AH158" s="236">
        <f t="shared" si="194"/>
        <v>0</v>
      </c>
      <c r="AI158" s="236">
        <f t="shared" si="194"/>
        <v>0</v>
      </c>
      <c r="AJ158" s="236">
        <f t="shared" si="194"/>
        <v>0</v>
      </c>
      <c r="AK158" s="236">
        <f t="shared" si="194"/>
        <v>0</v>
      </c>
      <c r="AL158" s="236">
        <f t="shared" si="194"/>
        <v>0</v>
      </c>
      <c r="AM158" s="236">
        <f t="shared" si="194"/>
        <v>0</v>
      </c>
      <c r="AN158" s="236">
        <f t="shared" si="194"/>
        <v>0</v>
      </c>
      <c r="AO158" s="236">
        <f t="shared" si="194"/>
        <v>0</v>
      </c>
      <c r="AP158" s="236">
        <f t="shared" si="194"/>
        <v>0</v>
      </c>
      <c r="AQ158" s="236">
        <f t="shared" si="194"/>
        <v>0</v>
      </c>
      <c r="AR158" s="236">
        <f t="shared" si="194"/>
        <v>0</v>
      </c>
      <c r="AS158" s="236">
        <f t="shared" si="194"/>
        <v>0</v>
      </c>
      <c r="AT158" s="236">
        <f t="shared" si="194"/>
        <v>0</v>
      </c>
      <c r="AU158" s="236">
        <f t="shared" si="194"/>
        <v>0</v>
      </c>
      <c r="AV158" s="236">
        <f t="shared" si="194"/>
        <v>0</v>
      </c>
      <c r="AW158" s="236">
        <f t="shared" si="194"/>
        <v>0</v>
      </c>
      <c r="AX158" s="236">
        <f t="shared" si="194"/>
        <v>0</v>
      </c>
      <c r="AY158" s="236">
        <f t="shared" si="194"/>
        <v>-18000</v>
      </c>
    </row>
    <row r="159" spans="1:51" s="84" customFormat="1" ht="12.75" x14ac:dyDescent="0.2">
      <c r="B159" s="13"/>
      <c r="C159" s="85"/>
      <c r="D159" s="100"/>
      <c r="E159" s="100"/>
      <c r="F159" s="100"/>
      <c r="G159" s="100"/>
      <c r="H159" s="100"/>
      <c r="I159" s="100"/>
      <c r="J159" s="100"/>
    </row>
    <row r="160" spans="1:51" s="13" customFormat="1" ht="12.75" x14ac:dyDescent="0.2">
      <c r="A160" s="15" t="s">
        <v>9</v>
      </c>
      <c r="B160" s="13" t="s">
        <v>52</v>
      </c>
      <c r="C160" s="78">
        <f>SUM(D160:AY160)</f>
        <v>384189.83979599987</v>
      </c>
      <c r="D160" s="88">
        <f>D141+D151+D158</f>
        <v>1210</v>
      </c>
      <c r="E160" s="88">
        <f t="shared" ref="E160:AY160" si="195">E141+E151+E158</f>
        <v>1210</v>
      </c>
      <c r="F160" s="88">
        <f t="shared" si="195"/>
        <v>1210</v>
      </c>
      <c r="G160" s="88">
        <f t="shared" si="195"/>
        <v>1210</v>
      </c>
      <c r="H160" s="88">
        <f t="shared" si="195"/>
        <v>1210</v>
      </c>
      <c r="I160" s="88">
        <f t="shared" si="195"/>
        <v>19210</v>
      </c>
      <c r="J160" s="88">
        <f t="shared" si="195"/>
        <v>5383</v>
      </c>
      <c r="K160" s="88">
        <f t="shared" si="195"/>
        <v>5800.3</v>
      </c>
      <c r="L160" s="88">
        <f t="shared" si="195"/>
        <v>6259.33</v>
      </c>
      <c r="M160" s="88">
        <f t="shared" si="195"/>
        <v>6764.2629999999999</v>
      </c>
      <c r="N160" s="88">
        <f t="shared" si="195"/>
        <v>7319.6893</v>
      </c>
      <c r="O160" s="88">
        <f t="shared" si="195"/>
        <v>7930.6582300000018</v>
      </c>
      <c r="P160" s="88">
        <f t="shared" si="195"/>
        <v>8602.7240530000017</v>
      </c>
      <c r="Q160" s="88">
        <f t="shared" si="195"/>
        <v>9341.9964583000037</v>
      </c>
      <c r="R160" s="88">
        <f t="shared" si="195"/>
        <v>9569.9963590000025</v>
      </c>
      <c r="S160" s="88">
        <f t="shared" si="195"/>
        <v>9569.9963590000025</v>
      </c>
      <c r="T160" s="88">
        <f t="shared" si="195"/>
        <v>9569.9963590000025</v>
      </c>
      <c r="U160" s="88">
        <f t="shared" si="195"/>
        <v>9569.9963590000025</v>
      </c>
      <c r="V160" s="88">
        <f t="shared" si="195"/>
        <v>9569.9963590000025</v>
      </c>
      <c r="W160" s="88">
        <f t="shared" si="195"/>
        <v>9569.9963590000025</v>
      </c>
      <c r="X160" s="88">
        <f t="shared" si="195"/>
        <v>9569.9963590000025</v>
      </c>
      <c r="Y160" s="88">
        <f t="shared" si="195"/>
        <v>9569.9963590000025</v>
      </c>
      <c r="Z160" s="88">
        <f t="shared" si="195"/>
        <v>9569.9963590000025</v>
      </c>
      <c r="AA160" s="88">
        <f t="shared" si="195"/>
        <v>9569.9963590000025</v>
      </c>
      <c r="AB160" s="88">
        <f t="shared" si="195"/>
        <v>9569.9963590000025</v>
      </c>
      <c r="AC160" s="88">
        <f t="shared" si="195"/>
        <v>9569.9963590000025</v>
      </c>
      <c r="AD160" s="88">
        <f t="shared" si="195"/>
        <v>9569.9963590000025</v>
      </c>
      <c r="AE160" s="88">
        <f t="shared" si="195"/>
        <v>9569.9963590000025</v>
      </c>
      <c r="AF160" s="88">
        <f t="shared" si="195"/>
        <v>9569.9963590000025</v>
      </c>
      <c r="AG160" s="88">
        <f t="shared" si="195"/>
        <v>9569.9963590000025</v>
      </c>
      <c r="AH160" s="88">
        <f t="shared" si="195"/>
        <v>9569.9963590000025</v>
      </c>
      <c r="AI160" s="88">
        <f t="shared" si="195"/>
        <v>9569.9963590000025</v>
      </c>
      <c r="AJ160" s="88">
        <f t="shared" si="195"/>
        <v>9569.9963590000025</v>
      </c>
      <c r="AK160" s="88">
        <f t="shared" si="195"/>
        <v>9569.9963590000025</v>
      </c>
      <c r="AL160" s="88">
        <f t="shared" si="195"/>
        <v>9569.9963590000025</v>
      </c>
      <c r="AM160" s="88">
        <f t="shared" si="195"/>
        <v>9569.9963590000025</v>
      </c>
      <c r="AN160" s="88">
        <f t="shared" si="195"/>
        <v>9569.9963590000025</v>
      </c>
      <c r="AO160" s="88">
        <f t="shared" si="195"/>
        <v>9569.9963590000025</v>
      </c>
      <c r="AP160" s="88">
        <f t="shared" si="195"/>
        <v>9569.9963590000025</v>
      </c>
      <c r="AQ160" s="88">
        <f t="shared" si="195"/>
        <v>9569.9963590000025</v>
      </c>
      <c r="AR160" s="88">
        <f t="shared" si="195"/>
        <v>9569.9963590000025</v>
      </c>
      <c r="AS160" s="88">
        <f t="shared" si="195"/>
        <v>9569.9963590000025</v>
      </c>
      <c r="AT160" s="88">
        <f t="shared" si="195"/>
        <v>9569.9963590000025</v>
      </c>
      <c r="AU160" s="88">
        <f t="shared" si="195"/>
        <v>9569.9963590000025</v>
      </c>
      <c r="AV160" s="88">
        <f t="shared" si="195"/>
        <v>9569.9963590000025</v>
      </c>
      <c r="AW160" s="88">
        <f t="shared" si="195"/>
        <v>9569.9963590000025</v>
      </c>
      <c r="AX160" s="88">
        <f t="shared" si="195"/>
        <v>9569.9963590000025</v>
      </c>
      <c r="AY160" s="88">
        <f t="shared" si="195"/>
        <v>-14282.001092299999</v>
      </c>
    </row>
    <row r="161" spans="1:51" s="13" customFormat="1" ht="12.75" x14ac:dyDescent="0.2">
      <c r="A161" s="101"/>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row>
    <row r="162" spans="1:51" s="29" customFormat="1" ht="33.75" customHeight="1" x14ac:dyDescent="0.25">
      <c r="A162" s="68" t="s">
        <v>10</v>
      </c>
      <c r="C162" s="75"/>
      <c r="D162" s="75"/>
      <c r="E162" s="75"/>
      <c r="F162" s="75"/>
      <c r="G162" s="75"/>
      <c r="H162" s="75"/>
      <c r="I162" s="75"/>
      <c r="J162" s="75"/>
    </row>
    <row r="163" spans="1:51" s="67" customFormat="1" ht="14.25" customHeight="1" x14ac:dyDescent="0.2">
      <c r="A163" s="67" t="str">
        <f t="shared" ref="A163:AF163" si="196">A$97</f>
        <v>Months --&gt;</v>
      </c>
      <c r="B163" s="67" t="str">
        <f t="shared" si="196"/>
        <v>units</v>
      </c>
      <c r="C163" s="67" t="str">
        <f t="shared" si="196"/>
        <v>Total</v>
      </c>
      <c r="D163" s="90">
        <f t="shared" si="196"/>
        <v>43922</v>
      </c>
      <c r="E163" s="90">
        <f t="shared" si="196"/>
        <v>43952</v>
      </c>
      <c r="F163" s="90">
        <f t="shared" si="196"/>
        <v>43983</v>
      </c>
      <c r="G163" s="90">
        <f t="shared" si="196"/>
        <v>44013</v>
      </c>
      <c r="H163" s="90">
        <f t="shared" si="196"/>
        <v>44044</v>
      </c>
      <c r="I163" s="90">
        <f t="shared" si="196"/>
        <v>44075</v>
      </c>
      <c r="J163" s="90">
        <f t="shared" si="196"/>
        <v>44105</v>
      </c>
      <c r="K163" s="90">
        <f t="shared" si="196"/>
        <v>44136</v>
      </c>
      <c r="L163" s="90">
        <f t="shared" si="196"/>
        <v>44166</v>
      </c>
      <c r="M163" s="90">
        <f t="shared" si="196"/>
        <v>44197</v>
      </c>
      <c r="N163" s="90">
        <f t="shared" si="196"/>
        <v>44228</v>
      </c>
      <c r="O163" s="90">
        <f t="shared" si="196"/>
        <v>44256</v>
      </c>
      <c r="P163" s="90">
        <f t="shared" si="196"/>
        <v>44287</v>
      </c>
      <c r="Q163" s="90">
        <f t="shared" si="196"/>
        <v>44317</v>
      </c>
      <c r="R163" s="90">
        <f t="shared" si="196"/>
        <v>44348</v>
      </c>
      <c r="S163" s="90">
        <f t="shared" si="196"/>
        <v>44378</v>
      </c>
      <c r="T163" s="90">
        <f t="shared" si="196"/>
        <v>44409</v>
      </c>
      <c r="U163" s="90">
        <f t="shared" si="196"/>
        <v>44440</v>
      </c>
      <c r="V163" s="90">
        <f t="shared" si="196"/>
        <v>44470</v>
      </c>
      <c r="W163" s="90">
        <f t="shared" si="196"/>
        <v>44501</v>
      </c>
      <c r="X163" s="90">
        <f t="shared" si="196"/>
        <v>44531</v>
      </c>
      <c r="Y163" s="90">
        <f t="shared" si="196"/>
        <v>44562</v>
      </c>
      <c r="Z163" s="90">
        <f t="shared" si="196"/>
        <v>44593</v>
      </c>
      <c r="AA163" s="90">
        <f t="shared" si="196"/>
        <v>44621</v>
      </c>
      <c r="AB163" s="90">
        <f t="shared" si="196"/>
        <v>44652</v>
      </c>
      <c r="AC163" s="90">
        <f t="shared" si="196"/>
        <v>44682</v>
      </c>
      <c r="AD163" s="90">
        <f t="shared" si="196"/>
        <v>44713</v>
      </c>
      <c r="AE163" s="90">
        <f t="shared" si="196"/>
        <v>44743</v>
      </c>
      <c r="AF163" s="90">
        <f t="shared" si="196"/>
        <v>44774</v>
      </c>
      <c r="AG163" s="90">
        <f t="shared" ref="AG163:AY163" si="197">AG$97</f>
        <v>44805</v>
      </c>
      <c r="AH163" s="90">
        <f t="shared" si="197"/>
        <v>44835</v>
      </c>
      <c r="AI163" s="90">
        <f t="shared" si="197"/>
        <v>44866</v>
      </c>
      <c r="AJ163" s="90">
        <f t="shared" si="197"/>
        <v>44896</v>
      </c>
      <c r="AK163" s="90">
        <f t="shared" si="197"/>
        <v>44927</v>
      </c>
      <c r="AL163" s="90">
        <f t="shared" si="197"/>
        <v>44958</v>
      </c>
      <c r="AM163" s="90">
        <f t="shared" si="197"/>
        <v>44986</v>
      </c>
      <c r="AN163" s="90">
        <f t="shared" si="197"/>
        <v>45017</v>
      </c>
      <c r="AO163" s="90">
        <f t="shared" si="197"/>
        <v>45047</v>
      </c>
      <c r="AP163" s="90">
        <f t="shared" si="197"/>
        <v>45078</v>
      </c>
      <c r="AQ163" s="90">
        <f t="shared" si="197"/>
        <v>45108</v>
      </c>
      <c r="AR163" s="90">
        <f t="shared" si="197"/>
        <v>45139</v>
      </c>
      <c r="AS163" s="90">
        <f t="shared" si="197"/>
        <v>45170</v>
      </c>
      <c r="AT163" s="90">
        <f t="shared" si="197"/>
        <v>45200</v>
      </c>
      <c r="AU163" s="90">
        <f t="shared" si="197"/>
        <v>45231</v>
      </c>
      <c r="AV163" s="90">
        <f t="shared" si="197"/>
        <v>45261</v>
      </c>
      <c r="AW163" s="90">
        <f t="shared" si="197"/>
        <v>45292</v>
      </c>
      <c r="AX163" s="90">
        <f t="shared" si="197"/>
        <v>45323</v>
      </c>
      <c r="AY163" s="90">
        <f t="shared" si="197"/>
        <v>45352</v>
      </c>
    </row>
    <row r="164" spans="1:51" s="13" customFormat="1" ht="21" customHeight="1" x14ac:dyDescent="0.2">
      <c r="A164" s="76" t="s">
        <v>198</v>
      </c>
      <c r="C164" s="16"/>
      <c r="D164" s="16"/>
      <c r="E164" s="16"/>
      <c r="F164" s="16"/>
      <c r="G164" s="16"/>
      <c r="H164" s="16"/>
      <c r="I164" s="16"/>
      <c r="J164" s="16"/>
    </row>
    <row r="165" spans="1:51" s="13" customFormat="1" ht="12.75" x14ac:dyDescent="0.2">
      <c r="A165" s="59" t="s">
        <v>177</v>
      </c>
      <c r="C165" s="16"/>
      <c r="D165" s="16"/>
      <c r="E165" s="16"/>
      <c r="F165" s="16"/>
      <c r="G165" s="16"/>
      <c r="H165" s="16"/>
      <c r="I165" s="16"/>
      <c r="J165" s="16"/>
    </row>
    <row r="166" spans="1:51" x14ac:dyDescent="0.25">
      <c r="A166" s="248" t="s">
        <v>182</v>
      </c>
      <c r="B166" s="91" t="s">
        <v>178</v>
      </c>
      <c r="C166" s="40"/>
      <c r="D166" s="249">
        <v>0.1</v>
      </c>
      <c r="E166" s="249">
        <f t="shared" ref="E166" si="198">D166</f>
        <v>0.1</v>
      </c>
      <c r="F166" s="249">
        <f t="shared" ref="F166" si="199">E166</f>
        <v>0.1</v>
      </c>
      <c r="G166" s="249">
        <f t="shared" ref="G166" si="200">F166</f>
        <v>0.1</v>
      </c>
      <c r="H166" s="249">
        <f t="shared" ref="H166" si="201">G166</f>
        <v>0.1</v>
      </c>
      <c r="I166" s="249">
        <f t="shared" ref="I166" si="202">H166</f>
        <v>0.1</v>
      </c>
      <c r="J166" s="249">
        <f t="shared" ref="J166" si="203">I166</f>
        <v>0.1</v>
      </c>
      <c r="K166" s="249">
        <f t="shared" ref="K166" si="204">J166</f>
        <v>0.1</v>
      </c>
      <c r="L166" s="249">
        <f t="shared" ref="L166" si="205">K166</f>
        <v>0.1</v>
      </c>
      <c r="M166" s="249">
        <f t="shared" ref="M166" si="206">L166</f>
        <v>0.1</v>
      </c>
      <c r="N166" s="249">
        <f t="shared" ref="N166" si="207">M166</f>
        <v>0.1</v>
      </c>
      <c r="O166" s="249">
        <f t="shared" ref="O166" si="208">N166</f>
        <v>0.1</v>
      </c>
      <c r="P166" s="249">
        <f t="shared" ref="P166" si="209">O166</f>
        <v>0.1</v>
      </c>
      <c r="Q166" s="249">
        <f t="shared" ref="Q166" si="210">P166</f>
        <v>0.1</v>
      </c>
      <c r="R166" s="249">
        <f t="shared" ref="R166" si="211">Q166</f>
        <v>0.1</v>
      </c>
      <c r="S166" s="249">
        <f t="shared" ref="S166" si="212">R166</f>
        <v>0.1</v>
      </c>
      <c r="T166" s="249">
        <f t="shared" ref="T166" si="213">S166</f>
        <v>0.1</v>
      </c>
      <c r="U166" s="249">
        <f t="shared" ref="U166" si="214">T166</f>
        <v>0.1</v>
      </c>
      <c r="V166" s="249">
        <f t="shared" ref="V166" si="215">U166</f>
        <v>0.1</v>
      </c>
      <c r="W166" s="249">
        <f t="shared" ref="W166" si="216">V166</f>
        <v>0.1</v>
      </c>
      <c r="X166" s="249">
        <f t="shared" ref="X166" si="217">W166</f>
        <v>0.1</v>
      </c>
      <c r="Y166" s="249">
        <f t="shared" ref="Y166" si="218">X166</f>
        <v>0.1</v>
      </c>
      <c r="Z166" s="249">
        <f t="shared" ref="Z166" si="219">Y166</f>
        <v>0.1</v>
      </c>
      <c r="AA166" s="249">
        <f t="shared" ref="AA166" si="220">Z166</f>
        <v>0.1</v>
      </c>
      <c r="AB166" s="249">
        <f t="shared" ref="AB166" si="221">AA166</f>
        <v>0.1</v>
      </c>
      <c r="AC166" s="249">
        <f t="shared" ref="AC166" si="222">AB166</f>
        <v>0.1</v>
      </c>
      <c r="AD166" s="249">
        <f t="shared" ref="AD166" si="223">AC166</f>
        <v>0.1</v>
      </c>
      <c r="AE166" s="249">
        <f t="shared" ref="AE166" si="224">AD166</f>
        <v>0.1</v>
      </c>
      <c r="AF166" s="249">
        <f t="shared" ref="AF166" si="225">AE166</f>
        <v>0.1</v>
      </c>
      <c r="AG166" s="249">
        <f t="shared" ref="AG166" si="226">AF166</f>
        <v>0.1</v>
      </c>
      <c r="AH166" s="249">
        <f t="shared" ref="AH166" si="227">AG166</f>
        <v>0.1</v>
      </c>
      <c r="AI166" s="249">
        <f t="shared" ref="AI166" si="228">AH166</f>
        <v>0.1</v>
      </c>
      <c r="AJ166" s="249">
        <f t="shared" ref="AJ166" si="229">AI166</f>
        <v>0.1</v>
      </c>
      <c r="AK166" s="249">
        <f t="shared" ref="AK166" si="230">AJ166</f>
        <v>0.1</v>
      </c>
      <c r="AL166" s="249">
        <f t="shared" ref="AL166" si="231">AK166</f>
        <v>0.1</v>
      </c>
      <c r="AM166" s="249">
        <f t="shared" ref="AM166" si="232">AL166</f>
        <v>0.1</v>
      </c>
      <c r="AN166" s="249">
        <f t="shared" ref="AN166" si="233">AM166</f>
        <v>0.1</v>
      </c>
      <c r="AO166" s="249">
        <f t="shared" ref="AO166" si="234">AN166</f>
        <v>0.1</v>
      </c>
      <c r="AP166" s="249">
        <f t="shared" ref="AP166" si="235">AO166</f>
        <v>0.1</v>
      </c>
      <c r="AQ166" s="249">
        <f t="shared" ref="AQ166" si="236">AP166</f>
        <v>0.1</v>
      </c>
      <c r="AR166" s="249">
        <f t="shared" ref="AR166" si="237">AQ166</f>
        <v>0.1</v>
      </c>
      <c r="AS166" s="249">
        <f t="shared" ref="AS166" si="238">AR166</f>
        <v>0.1</v>
      </c>
      <c r="AT166" s="249">
        <f t="shared" ref="AT166" si="239">AS166</f>
        <v>0.1</v>
      </c>
      <c r="AU166" s="249">
        <f t="shared" ref="AU166" si="240">AT166</f>
        <v>0.1</v>
      </c>
      <c r="AV166" s="249">
        <f t="shared" ref="AV166" si="241">AU166</f>
        <v>0.1</v>
      </c>
      <c r="AW166" s="249">
        <f t="shared" ref="AW166" si="242">AV166</f>
        <v>0.1</v>
      </c>
      <c r="AX166" s="249">
        <f t="shared" ref="AX166" si="243">AW166</f>
        <v>0.1</v>
      </c>
      <c r="AY166" s="249">
        <f t="shared" ref="AY166" si="244">AX166</f>
        <v>0.1</v>
      </c>
    </row>
    <row r="167" spans="1:51" s="250" customFormat="1" x14ac:dyDescent="0.25">
      <c r="A167" s="250" t="s">
        <v>179</v>
      </c>
      <c r="B167" s="251" t="s">
        <v>180</v>
      </c>
      <c r="C167" s="252"/>
      <c r="D167" s="253">
        <f t="shared" ref="D167:E167" si="245">100%-100%/(100%+D166)</f>
        <v>9.0909090909090939E-2</v>
      </c>
      <c r="E167" s="253">
        <f t="shared" si="245"/>
        <v>9.0909090909090939E-2</v>
      </c>
      <c r="F167" s="253">
        <f t="shared" ref="F167:AY167" si="246">100%-100%/(100%+F166)</f>
        <v>9.0909090909090939E-2</v>
      </c>
      <c r="G167" s="253">
        <f t="shared" si="246"/>
        <v>9.0909090909090939E-2</v>
      </c>
      <c r="H167" s="253">
        <f t="shared" si="246"/>
        <v>9.0909090909090939E-2</v>
      </c>
      <c r="I167" s="253">
        <f t="shared" si="246"/>
        <v>9.0909090909090939E-2</v>
      </c>
      <c r="J167" s="253">
        <f t="shared" si="246"/>
        <v>9.0909090909090939E-2</v>
      </c>
      <c r="K167" s="253">
        <f t="shared" si="246"/>
        <v>9.0909090909090939E-2</v>
      </c>
      <c r="L167" s="253">
        <f t="shared" si="246"/>
        <v>9.0909090909090939E-2</v>
      </c>
      <c r="M167" s="253">
        <f t="shared" si="246"/>
        <v>9.0909090909090939E-2</v>
      </c>
      <c r="N167" s="253">
        <f t="shared" si="246"/>
        <v>9.0909090909090939E-2</v>
      </c>
      <c r="O167" s="253">
        <f t="shared" si="246"/>
        <v>9.0909090909090939E-2</v>
      </c>
      <c r="P167" s="253">
        <f t="shared" si="246"/>
        <v>9.0909090909090939E-2</v>
      </c>
      <c r="Q167" s="253">
        <f t="shared" si="246"/>
        <v>9.0909090909090939E-2</v>
      </c>
      <c r="R167" s="253">
        <f t="shared" si="246"/>
        <v>9.0909090909090939E-2</v>
      </c>
      <c r="S167" s="253">
        <f t="shared" si="246"/>
        <v>9.0909090909090939E-2</v>
      </c>
      <c r="T167" s="253">
        <f t="shared" si="246"/>
        <v>9.0909090909090939E-2</v>
      </c>
      <c r="U167" s="253">
        <f t="shared" si="246"/>
        <v>9.0909090909090939E-2</v>
      </c>
      <c r="V167" s="253">
        <f t="shared" si="246"/>
        <v>9.0909090909090939E-2</v>
      </c>
      <c r="W167" s="253">
        <f t="shared" si="246"/>
        <v>9.0909090909090939E-2</v>
      </c>
      <c r="X167" s="253">
        <f t="shared" si="246"/>
        <v>9.0909090909090939E-2</v>
      </c>
      <c r="Y167" s="253">
        <f t="shared" si="246"/>
        <v>9.0909090909090939E-2</v>
      </c>
      <c r="Z167" s="253">
        <f t="shared" si="246"/>
        <v>9.0909090909090939E-2</v>
      </c>
      <c r="AA167" s="253">
        <f t="shared" si="246"/>
        <v>9.0909090909090939E-2</v>
      </c>
      <c r="AB167" s="253">
        <f t="shared" si="246"/>
        <v>9.0909090909090939E-2</v>
      </c>
      <c r="AC167" s="253">
        <f t="shared" si="246"/>
        <v>9.0909090909090939E-2</v>
      </c>
      <c r="AD167" s="253">
        <f t="shared" si="246"/>
        <v>9.0909090909090939E-2</v>
      </c>
      <c r="AE167" s="253">
        <f t="shared" si="246"/>
        <v>9.0909090909090939E-2</v>
      </c>
      <c r="AF167" s="253">
        <f t="shared" si="246"/>
        <v>9.0909090909090939E-2</v>
      </c>
      <c r="AG167" s="253">
        <f t="shared" si="246"/>
        <v>9.0909090909090939E-2</v>
      </c>
      <c r="AH167" s="253">
        <f t="shared" si="246"/>
        <v>9.0909090909090939E-2</v>
      </c>
      <c r="AI167" s="253">
        <f t="shared" si="246"/>
        <v>9.0909090909090939E-2</v>
      </c>
      <c r="AJ167" s="253">
        <f t="shared" si="246"/>
        <v>9.0909090909090939E-2</v>
      </c>
      <c r="AK167" s="253">
        <f t="shared" si="246"/>
        <v>9.0909090909090939E-2</v>
      </c>
      <c r="AL167" s="253">
        <f t="shared" si="246"/>
        <v>9.0909090909090939E-2</v>
      </c>
      <c r="AM167" s="253">
        <f t="shared" si="246"/>
        <v>9.0909090909090939E-2</v>
      </c>
      <c r="AN167" s="253">
        <f t="shared" si="246"/>
        <v>9.0909090909090939E-2</v>
      </c>
      <c r="AO167" s="253">
        <f t="shared" si="246"/>
        <v>9.0909090909090939E-2</v>
      </c>
      <c r="AP167" s="253">
        <f t="shared" si="246"/>
        <v>9.0909090909090939E-2</v>
      </c>
      <c r="AQ167" s="253">
        <f t="shared" si="246"/>
        <v>9.0909090909090939E-2</v>
      </c>
      <c r="AR167" s="253">
        <f t="shared" si="246"/>
        <v>9.0909090909090939E-2</v>
      </c>
      <c r="AS167" s="253">
        <f t="shared" si="246"/>
        <v>9.0909090909090939E-2</v>
      </c>
      <c r="AT167" s="253">
        <f t="shared" si="246"/>
        <v>9.0909090909090939E-2</v>
      </c>
      <c r="AU167" s="253">
        <f t="shared" si="246"/>
        <v>9.0909090909090939E-2</v>
      </c>
      <c r="AV167" s="253">
        <f t="shared" si="246"/>
        <v>9.0909090909090939E-2</v>
      </c>
      <c r="AW167" s="253">
        <f t="shared" si="246"/>
        <v>9.0909090909090939E-2</v>
      </c>
      <c r="AX167" s="253">
        <f t="shared" si="246"/>
        <v>9.0909090909090939E-2</v>
      </c>
      <c r="AY167" s="253">
        <f t="shared" si="246"/>
        <v>9.0909090909090939E-2</v>
      </c>
    </row>
    <row r="168" spans="1:51" s="49" customFormat="1" ht="11.25" customHeight="1" x14ac:dyDescent="0.25">
      <c r="A168" s="247"/>
      <c r="B168" s="29"/>
      <c r="C168" s="62"/>
      <c r="D168" s="62"/>
      <c r="E168" s="62"/>
      <c r="F168" s="62"/>
      <c r="G168" s="62"/>
      <c r="H168" s="62"/>
      <c r="I168" s="62"/>
      <c r="J168" s="62"/>
      <c r="K168" s="62"/>
      <c r="L168" s="62"/>
      <c r="M168" s="62"/>
      <c r="N168" s="62"/>
      <c r="O168" s="156"/>
    </row>
    <row r="169" spans="1:51" s="254" customFormat="1" x14ac:dyDescent="0.25">
      <c r="A169" s="258" t="s">
        <v>183</v>
      </c>
      <c r="B169" s="255" t="s">
        <v>52</v>
      </c>
      <c r="C169" s="65">
        <f>SUM(D169:O169)</f>
        <v>4629.3660000000018</v>
      </c>
      <c r="D169" s="65">
        <f t="shared" ref="D169:AY169" si="247">D111*D167</f>
        <v>0</v>
      </c>
      <c r="E169" s="65">
        <f t="shared" si="247"/>
        <v>0</v>
      </c>
      <c r="F169" s="65">
        <f t="shared" si="247"/>
        <v>0</v>
      </c>
      <c r="G169" s="65">
        <f t="shared" si="247"/>
        <v>0</v>
      </c>
      <c r="H169" s="65">
        <f t="shared" si="247"/>
        <v>0</v>
      </c>
      <c r="I169" s="65">
        <f t="shared" si="247"/>
        <v>0</v>
      </c>
      <c r="J169" s="65">
        <f t="shared" si="247"/>
        <v>600.00000000000023</v>
      </c>
      <c r="K169" s="65">
        <f t="shared" si="247"/>
        <v>660.00000000000023</v>
      </c>
      <c r="L169" s="65">
        <f t="shared" si="247"/>
        <v>726.00000000000023</v>
      </c>
      <c r="M169" s="65">
        <f t="shared" si="247"/>
        <v>798.60000000000025</v>
      </c>
      <c r="N169" s="65">
        <f t="shared" si="247"/>
        <v>878.46000000000026</v>
      </c>
      <c r="O169" s="65">
        <f t="shared" si="247"/>
        <v>966.30600000000027</v>
      </c>
      <c r="P169" s="65">
        <f t="shared" si="247"/>
        <v>1062.9366000000007</v>
      </c>
      <c r="Q169" s="65">
        <f t="shared" si="247"/>
        <v>1169.2302600000007</v>
      </c>
      <c r="R169" s="65">
        <f t="shared" si="247"/>
        <v>1286.1532860000007</v>
      </c>
      <c r="S169" s="65">
        <f t="shared" si="247"/>
        <v>1286.1532860000007</v>
      </c>
      <c r="T169" s="65">
        <f t="shared" si="247"/>
        <v>1286.1532860000007</v>
      </c>
      <c r="U169" s="65">
        <f t="shared" si="247"/>
        <v>1286.1532860000007</v>
      </c>
      <c r="V169" s="65">
        <f t="shared" si="247"/>
        <v>1286.1532860000007</v>
      </c>
      <c r="W169" s="65">
        <f t="shared" si="247"/>
        <v>1286.1532860000007</v>
      </c>
      <c r="X169" s="65">
        <f t="shared" si="247"/>
        <v>1286.1532860000007</v>
      </c>
      <c r="Y169" s="65">
        <f t="shared" si="247"/>
        <v>1286.1532860000007</v>
      </c>
      <c r="Z169" s="65">
        <f t="shared" si="247"/>
        <v>1286.1532860000007</v>
      </c>
      <c r="AA169" s="65">
        <f t="shared" si="247"/>
        <v>1286.1532860000007</v>
      </c>
      <c r="AB169" s="65">
        <f t="shared" si="247"/>
        <v>1286.1532860000007</v>
      </c>
      <c r="AC169" s="65">
        <f t="shared" si="247"/>
        <v>1286.1532860000007</v>
      </c>
      <c r="AD169" s="65">
        <f t="shared" si="247"/>
        <v>1286.1532860000007</v>
      </c>
      <c r="AE169" s="65">
        <f t="shared" si="247"/>
        <v>1286.1532860000007</v>
      </c>
      <c r="AF169" s="65">
        <f t="shared" si="247"/>
        <v>1286.1532860000007</v>
      </c>
      <c r="AG169" s="65">
        <f t="shared" si="247"/>
        <v>1286.1532860000007</v>
      </c>
      <c r="AH169" s="65">
        <f t="shared" si="247"/>
        <v>1286.1532860000007</v>
      </c>
      <c r="AI169" s="65">
        <f t="shared" si="247"/>
        <v>1286.1532860000007</v>
      </c>
      <c r="AJ169" s="65">
        <f t="shared" si="247"/>
        <v>1286.1532860000007</v>
      </c>
      <c r="AK169" s="65">
        <f t="shared" si="247"/>
        <v>1286.1532860000007</v>
      </c>
      <c r="AL169" s="65">
        <f t="shared" si="247"/>
        <v>1286.1532860000007</v>
      </c>
      <c r="AM169" s="65">
        <f t="shared" si="247"/>
        <v>1286.1532860000007</v>
      </c>
      <c r="AN169" s="65">
        <f t="shared" si="247"/>
        <v>1286.1532860000007</v>
      </c>
      <c r="AO169" s="65">
        <f t="shared" si="247"/>
        <v>1286.1532860000007</v>
      </c>
      <c r="AP169" s="65">
        <f t="shared" si="247"/>
        <v>1286.1532860000007</v>
      </c>
      <c r="AQ169" s="65">
        <f t="shared" si="247"/>
        <v>1286.1532860000007</v>
      </c>
      <c r="AR169" s="65">
        <f t="shared" si="247"/>
        <v>1286.1532860000007</v>
      </c>
      <c r="AS169" s="65">
        <f t="shared" si="247"/>
        <v>1286.1532860000007</v>
      </c>
      <c r="AT169" s="65">
        <f t="shared" si="247"/>
        <v>1286.1532860000007</v>
      </c>
      <c r="AU169" s="65">
        <f t="shared" si="247"/>
        <v>1286.1532860000007</v>
      </c>
      <c r="AV169" s="65">
        <f t="shared" si="247"/>
        <v>1286.1532860000007</v>
      </c>
      <c r="AW169" s="65">
        <f t="shared" si="247"/>
        <v>1286.1532860000007</v>
      </c>
      <c r="AX169" s="65">
        <f t="shared" si="247"/>
        <v>1286.1532860000007</v>
      </c>
      <c r="AY169" s="65">
        <f t="shared" si="247"/>
        <v>1286.1532860000007</v>
      </c>
    </row>
    <row r="170" spans="1:51" s="254" customFormat="1" x14ac:dyDescent="0.25">
      <c r="A170" s="259" t="s">
        <v>184</v>
      </c>
      <c r="B170" s="255"/>
      <c r="C170" s="65"/>
      <c r="D170" s="65"/>
      <c r="E170" s="65"/>
      <c r="F170" s="65"/>
      <c r="G170" s="65"/>
      <c r="H170" s="65"/>
      <c r="I170" s="65"/>
      <c r="J170" s="65"/>
      <c r="K170" s="65"/>
      <c r="L170" s="65"/>
      <c r="M170" s="65"/>
      <c r="N170" s="65"/>
      <c r="O170" s="65"/>
    </row>
    <row r="171" spans="1:51" s="254" customFormat="1" x14ac:dyDescent="0.25">
      <c r="A171" s="254" t="s">
        <v>181</v>
      </c>
      <c r="B171" s="255" t="s">
        <v>52</v>
      </c>
      <c r="C171" s="65">
        <f>SUM(D171:O171)</f>
        <v>8519.7491390909126</v>
      </c>
      <c r="D171" s="65">
        <f t="shared" ref="D171:AY171" si="248">(D122+D141+D151)*D167</f>
        <v>110.00000000000004</v>
      </c>
      <c r="E171" s="65">
        <f t="shared" si="248"/>
        <v>564.54545454545473</v>
      </c>
      <c r="F171" s="65">
        <f t="shared" si="248"/>
        <v>928.18181818181847</v>
      </c>
      <c r="G171" s="65">
        <f t="shared" si="248"/>
        <v>1291.8181818181822</v>
      </c>
      <c r="H171" s="65">
        <f t="shared" si="248"/>
        <v>655.45454545454572</v>
      </c>
      <c r="I171" s="65">
        <f t="shared" si="248"/>
        <v>928.18181818181847</v>
      </c>
      <c r="J171" s="65">
        <f t="shared" si="248"/>
        <v>489.36363636363654</v>
      </c>
      <c r="K171" s="65">
        <f t="shared" si="248"/>
        <v>618.20909090909117</v>
      </c>
      <c r="L171" s="65">
        <f t="shared" si="248"/>
        <v>659.93909090909108</v>
      </c>
      <c r="M171" s="65">
        <f t="shared" si="248"/>
        <v>705.8420909090911</v>
      </c>
      <c r="N171" s="65">
        <f t="shared" si="248"/>
        <v>756.33539090909119</v>
      </c>
      <c r="O171" s="65">
        <f t="shared" si="248"/>
        <v>811.87802090909122</v>
      </c>
      <c r="P171" s="65">
        <f t="shared" si="248"/>
        <v>872.97491390909136</v>
      </c>
      <c r="Q171" s="65">
        <f t="shared" si="248"/>
        <v>940.18149620909151</v>
      </c>
      <c r="R171" s="65">
        <f t="shared" si="248"/>
        <v>960.90875990909149</v>
      </c>
      <c r="S171" s="65">
        <f t="shared" si="248"/>
        <v>960.90875990909149</v>
      </c>
      <c r="T171" s="65">
        <f t="shared" si="248"/>
        <v>960.90875990909149</v>
      </c>
      <c r="U171" s="65">
        <f t="shared" si="248"/>
        <v>960.90875990909149</v>
      </c>
      <c r="V171" s="65">
        <f t="shared" si="248"/>
        <v>960.90875990909149</v>
      </c>
      <c r="W171" s="65">
        <f t="shared" si="248"/>
        <v>960.90875990909149</v>
      </c>
      <c r="X171" s="65">
        <f t="shared" si="248"/>
        <v>960.90875990909149</v>
      </c>
      <c r="Y171" s="65">
        <f t="shared" si="248"/>
        <v>960.90875990909149</v>
      </c>
      <c r="Z171" s="65">
        <f t="shared" si="248"/>
        <v>960.90875990909149</v>
      </c>
      <c r="AA171" s="65">
        <f t="shared" si="248"/>
        <v>960.90875990909149</v>
      </c>
      <c r="AB171" s="65">
        <f t="shared" si="248"/>
        <v>960.90875990909149</v>
      </c>
      <c r="AC171" s="65">
        <f t="shared" si="248"/>
        <v>960.90875990909149</v>
      </c>
      <c r="AD171" s="65">
        <f t="shared" si="248"/>
        <v>960.90875990909149</v>
      </c>
      <c r="AE171" s="65">
        <f t="shared" si="248"/>
        <v>960.90875990909149</v>
      </c>
      <c r="AF171" s="65">
        <f t="shared" si="248"/>
        <v>960.90875990909149</v>
      </c>
      <c r="AG171" s="65">
        <f t="shared" si="248"/>
        <v>960.90875990909149</v>
      </c>
      <c r="AH171" s="65">
        <f t="shared" si="248"/>
        <v>960.90875990909149</v>
      </c>
      <c r="AI171" s="65">
        <f t="shared" si="248"/>
        <v>960.90875990909149</v>
      </c>
      <c r="AJ171" s="65">
        <f t="shared" si="248"/>
        <v>960.90875990909149</v>
      </c>
      <c r="AK171" s="65">
        <f t="shared" si="248"/>
        <v>960.90875990909149</v>
      </c>
      <c r="AL171" s="65">
        <f t="shared" si="248"/>
        <v>960.90875990909149</v>
      </c>
      <c r="AM171" s="65">
        <f t="shared" si="248"/>
        <v>960.90875990909149</v>
      </c>
      <c r="AN171" s="65">
        <f t="shared" si="248"/>
        <v>960.90875990909149</v>
      </c>
      <c r="AO171" s="65">
        <f t="shared" si="248"/>
        <v>960.90875990909149</v>
      </c>
      <c r="AP171" s="65">
        <f t="shared" si="248"/>
        <v>960.90875990909149</v>
      </c>
      <c r="AQ171" s="65">
        <f t="shared" si="248"/>
        <v>960.90875990909149</v>
      </c>
      <c r="AR171" s="65">
        <f t="shared" si="248"/>
        <v>960.90875990909149</v>
      </c>
      <c r="AS171" s="65">
        <f t="shared" si="248"/>
        <v>960.90875990909149</v>
      </c>
      <c r="AT171" s="65">
        <f t="shared" si="248"/>
        <v>960.90875990909149</v>
      </c>
      <c r="AU171" s="65">
        <f t="shared" si="248"/>
        <v>960.90875990909149</v>
      </c>
      <c r="AV171" s="65">
        <f t="shared" si="248"/>
        <v>960.90875990909149</v>
      </c>
      <c r="AW171" s="65">
        <f t="shared" si="248"/>
        <v>960.90875990909149</v>
      </c>
      <c r="AX171" s="65">
        <f t="shared" si="248"/>
        <v>869.99966900000049</v>
      </c>
      <c r="AY171" s="65">
        <f t="shared" si="248"/>
        <v>337.99990070000018</v>
      </c>
    </row>
    <row r="172" spans="1:51" s="256" customFormat="1" x14ac:dyDescent="0.25">
      <c r="A172" s="256" t="s">
        <v>187</v>
      </c>
      <c r="B172" s="255" t="s">
        <v>52</v>
      </c>
      <c r="C172" s="40">
        <f>SUM(D172:O172)</f>
        <v>-3890.3831390909104</v>
      </c>
      <c r="D172" s="257">
        <f>D169-D171</f>
        <v>-110.00000000000004</v>
      </c>
      <c r="E172" s="257">
        <f t="shared" ref="E172:AY172" si="249">E169-E171</f>
        <v>-564.54545454545473</v>
      </c>
      <c r="F172" s="257">
        <f t="shared" si="249"/>
        <v>-928.18181818181847</v>
      </c>
      <c r="G172" s="257">
        <f t="shared" si="249"/>
        <v>-1291.8181818181822</v>
      </c>
      <c r="H172" s="257">
        <f t="shared" si="249"/>
        <v>-655.45454545454572</v>
      </c>
      <c r="I172" s="257">
        <f t="shared" si="249"/>
        <v>-928.18181818181847</v>
      </c>
      <c r="J172" s="257">
        <f t="shared" si="249"/>
        <v>110.63636363636368</v>
      </c>
      <c r="K172" s="257">
        <f t="shared" si="249"/>
        <v>41.790909090909054</v>
      </c>
      <c r="L172" s="257">
        <f t="shared" si="249"/>
        <v>66.060909090909149</v>
      </c>
      <c r="M172" s="257">
        <f t="shared" si="249"/>
        <v>92.757909090909152</v>
      </c>
      <c r="N172" s="257">
        <f t="shared" si="249"/>
        <v>122.12460909090908</v>
      </c>
      <c r="O172" s="257">
        <f t="shared" si="249"/>
        <v>154.42797909090905</v>
      </c>
      <c r="P172" s="257">
        <f t="shared" si="249"/>
        <v>189.96168609090932</v>
      </c>
      <c r="Q172" s="257">
        <f t="shared" si="249"/>
        <v>229.04876379090922</v>
      </c>
      <c r="R172" s="257">
        <f t="shared" si="249"/>
        <v>325.24452609090918</v>
      </c>
      <c r="S172" s="257">
        <f t="shared" si="249"/>
        <v>325.24452609090918</v>
      </c>
      <c r="T172" s="257">
        <f t="shared" si="249"/>
        <v>325.24452609090918</v>
      </c>
      <c r="U172" s="257">
        <f t="shared" si="249"/>
        <v>325.24452609090918</v>
      </c>
      <c r="V172" s="257">
        <f t="shared" si="249"/>
        <v>325.24452609090918</v>
      </c>
      <c r="W172" s="257">
        <f t="shared" si="249"/>
        <v>325.24452609090918</v>
      </c>
      <c r="X172" s="257">
        <f t="shared" si="249"/>
        <v>325.24452609090918</v>
      </c>
      <c r="Y172" s="257">
        <f t="shared" si="249"/>
        <v>325.24452609090918</v>
      </c>
      <c r="Z172" s="257">
        <f t="shared" si="249"/>
        <v>325.24452609090918</v>
      </c>
      <c r="AA172" s="257">
        <f t="shared" si="249"/>
        <v>325.24452609090918</v>
      </c>
      <c r="AB172" s="257">
        <f t="shared" si="249"/>
        <v>325.24452609090918</v>
      </c>
      <c r="AC172" s="257">
        <f t="shared" si="249"/>
        <v>325.24452609090918</v>
      </c>
      <c r="AD172" s="257">
        <f t="shared" si="249"/>
        <v>325.24452609090918</v>
      </c>
      <c r="AE172" s="257">
        <f t="shared" si="249"/>
        <v>325.24452609090918</v>
      </c>
      <c r="AF172" s="257">
        <f t="shared" si="249"/>
        <v>325.24452609090918</v>
      </c>
      <c r="AG172" s="257">
        <f t="shared" si="249"/>
        <v>325.24452609090918</v>
      </c>
      <c r="AH172" s="257">
        <f t="shared" si="249"/>
        <v>325.24452609090918</v>
      </c>
      <c r="AI172" s="257">
        <f t="shared" si="249"/>
        <v>325.24452609090918</v>
      </c>
      <c r="AJ172" s="257">
        <f t="shared" si="249"/>
        <v>325.24452609090918</v>
      </c>
      <c r="AK172" s="257">
        <f t="shared" si="249"/>
        <v>325.24452609090918</v>
      </c>
      <c r="AL172" s="257">
        <f t="shared" si="249"/>
        <v>325.24452609090918</v>
      </c>
      <c r="AM172" s="257">
        <f t="shared" si="249"/>
        <v>325.24452609090918</v>
      </c>
      <c r="AN172" s="257">
        <f t="shared" si="249"/>
        <v>325.24452609090918</v>
      </c>
      <c r="AO172" s="257">
        <f t="shared" si="249"/>
        <v>325.24452609090918</v>
      </c>
      <c r="AP172" s="257">
        <f t="shared" si="249"/>
        <v>325.24452609090918</v>
      </c>
      <c r="AQ172" s="257">
        <f t="shared" si="249"/>
        <v>325.24452609090918</v>
      </c>
      <c r="AR172" s="257">
        <f t="shared" si="249"/>
        <v>325.24452609090918</v>
      </c>
      <c r="AS172" s="257">
        <f t="shared" si="249"/>
        <v>325.24452609090918</v>
      </c>
      <c r="AT172" s="257">
        <f t="shared" si="249"/>
        <v>325.24452609090918</v>
      </c>
      <c r="AU172" s="257">
        <f t="shared" si="249"/>
        <v>325.24452609090918</v>
      </c>
      <c r="AV172" s="257">
        <f t="shared" si="249"/>
        <v>325.24452609090918</v>
      </c>
      <c r="AW172" s="257">
        <f t="shared" si="249"/>
        <v>325.24452609090918</v>
      </c>
      <c r="AX172" s="257">
        <f t="shared" si="249"/>
        <v>416.15361700000017</v>
      </c>
      <c r="AY172" s="257">
        <f t="shared" si="249"/>
        <v>948.15338530000054</v>
      </c>
    </row>
    <row r="173" spans="1:51" s="84" customFormat="1" ht="12.75" x14ac:dyDescent="0.2">
      <c r="B173" s="13"/>
      <c r="C173" s="85"/>
      <c r="D173" s="100"/>
      <c r="E173" s="100"/>
      <c r="F173" s="100"/>
      <c r="G173" s="100"/>
      <c r="H173" s="100"/>
      <c r="I173" s="100"/>
      <c r="J173" s="100"/>
    </row>
    <row r="174" spans="1:51" s="13" customFormat="1" ht="21" customHeight="1" x14ac:dyDescent="0.2">
      <c r="A174" s="76" t="s">
        <v>199</v>
      </c>
      <c r="C174" s="16"/>
      <c r="D174" s="16"/>
      <c r="E174" s="16"/>
      <c r="F174" s="16"/>
      <c r="G174" s="16"/>
      <c r="H174" s="16"/>
      <c r="I174" s="16"/>
      <c r="J174" s="16"/>
    </row>
    <row r="175" spans="1:51" s="13" customFormat="1" ht="15.75" customHeight="1" x14ac:dyDescent="0.2">
      <c r="A175" s="260" t="s">
        <v>49</v>
      </c>
      <c r="C175" s="16"/>
      <c r="D175" s="16"/>
      <c r="E175" s="16"/>
      <c r="F175" s="16"/>
      <c r="G175" s="16"/>
      <c r="H175" s="16"/>
      <c r="I175" s="16"/>
      <c r="J175" s="16"/>
    </row>
    <row r="176" spans="1:51" s="13" customFormat="1" ht="12.75" x14ac:dyDescent="0.2">
      <c r="A176" s="59" t="s">
        <v>176</v>
      </c>
      <c r="C176" s="74"/>
      <c r="D176" s="74"/>
      <c r="E176" s="74"/>
      <c r="F176" s="74"/>
      <c r="G176" s="74"/>
      <c r="H176" s="74"/>
      <c r="I176" s="74"/>
      <c r="J176" s="74"/>
    </row>
    <row r="177" spans="1:51" s="13" customFormat="1" ht="12.75" x14ac:dyDescent="0.2">
      <c r="A177" s="59" t="s">
        <v>77</v>
      </c>
      <c r="C177" s="74"/>
      <c r="D177" s="74"/>
      <c r="E177" s="74"/>
      <c r="F177" s="74"/>
      <c r="G177" s="74"/>
      <c r="H177" s="74"/>
      <c r="I177" s="74"/>
      <c r="J177" s="74"/>
    </row>
    <row r="178" spans="1:51" s="13" customFormat="1" ht="12.75" x14ac:dyDescent="0.2">
      <c r="A178" s="59" t="s">
        <v>80</v>
      </c>
      <c r="C178" s="74"/>
      <c r="D178" s="74"/>
      <c r="E178" s="74"/>
      <c r="F178" s="74"/>
      <c r="G178" s="74"/>
      <c r="H178" s="74"/>
      <c r="I178" s="74"/>
      <c r="J178" s="74"/>
    </row>
    <row r="179" spans="1:51" s="13" customFormat="1" ht="12.75" x14ac:dyDescent="0.2">
      <c r="A179" s="96" t="s">
        <v>78</v>
      </c>
      <c r="B179" s="96" t="s">
        <v>52</v>
      </c>
      <c r="C179" s="78"/>
      <c r="D179" s="92">
        <v>0</v>
      </c>
      <c r="E179" s="85">
        <f t="shared" ref="E179:V179" si="250">D184</f>
        <v>0</v>
      </c>
      <c r="F179" s="85">
        <f t="shared" si="250"/>
        <v>4895.833333333333</v>
      </c>
      <c r="G179" s="85">
        <f t="shared" si="250"/>
        <v>13606.336805555555</v>
      </c>
      <c r="H179" s="85">
        <f t="shared" si="250"/>
        <v>26052.038122106482</v>
      </c>
      <c r="I179" s="85">
        <f t="shared" si="250"/>
        <v>31384.287327895931</v>
      </c>
      <c r="J179" s="85">
        <f t="shared" si="250"/>
        <v>39542.948008564766</v>
      </c>
      <c r="K179" s="85">
        <f t="shared" si="250"/>
        <v>38719.136591719667</v>
      </c>
      <c r="L179" s="85">
        <f t="shared" si="250"/>
        <v>38891.654579392176</v>
      </c>
      <c r="M179" s="85">
        <f t="shared" si="250"/>
        <v>39060.578442321508</v>
      </c>
      <c r="N179" s="85">
        <f t="shared" si="250"/>
        <v>39225.983058106474</v>
      </c>
      <c r="O179" s="85">
        <f t="shared" si="250"/>
        <v>39387.941744395925</v>
      </c>
      <c r="P179" s="85">
        <f t="shared" si="250"/>
        <v>39546.52629138768</v>
      </c>
      <c r="Q179" s="85">
        <f t="shared" si="250"/>
        <v>39701.806993650433</v>
      </c>
      <c r="R179" s="85">
        <f t="shared" si="250"/>
        <v>39853.852681282719</v>
      </c>
      <c r="S179" s="85">
        <f t="shared" si="250"/>
        <v>40002.730750422663</v>
      </c>
      <c r="T179" s="85">
        <f t="shared" si="250"/>
        <v>40148.50719312219</v>
      </c>
      <c r="U179" s="85">
        <f t="shared" si="250"/>
        <v>40291.246626598811</v>
      </c>
      <c r="V179" s="85">
        <f t="shared" si="250"/>
        <v>40431.012321878006</v>
      </c>
      <c r="W179" s="85">
        <f t="shared" ref="W179" si="251">V184</f>
        <v>40567.866231838882</v>
      </c>
      <c r="X179" s="85">
        <f t="shared" ref="X179" si="252">W184</f>
        <v>40701.86901867557</v>
      </c>
      <c r="Y179" s="85">
        <f t="shared" ref="Y179" si="253">X184</f>
        <v>40833.080080786494</v>
      </c>
      <c r="Z179" s="85">
        <f t="shared" ref="Z179" si="254">Y184</f>
        <v>40961.557579103443</v>
      </c>
      <c r="AA179" s="85">
        <f t="shared" ref="AA179" si="255">Z184</f>
        <v>41087.358462872122</v>
      </c>
      <c r="AB179" s="85">
        <f t="shared" ref="AB179" si="256">AA184</f>
        <v>41210.53849489562</v>
      </c>
      <c r="AC179" s="85">
        <f t="shared" ref="AC179" si="257">AB184</f>
        <v>41331.15227625196</v>
      </c>
      <c r="AD179" s="85">
        <f t="shared" ref="AD179" si="258">AC184</f>
        <v>41449.253270496709</v>
      </c>
      <c r="AE179" s="85">
        <f t="shared" ref="AE179" si="259">AD184</f>
        <v>41564.89382736136</v>
      </c>
      <c r="AF179" s="85">
        <f t="shared" ref="AF179" si="260">AE184</f>
        <v>41678.125205958</v>
      </c>
      <c r="AG179" s="85">
        <f t="shared" ref="AG179" si="261">AF184</f>
        <v>41788.997597500544</v>
      </c>
      <c r="AH179" s="85">
        <f t="shared" ref="AH179" si="262">AG184</f>
        <v>41897.560147552613</v>
      </c>
      <c r="AI179" s="85">
        <f t="shared" ref="AI179" si="263">AH184</f>
        <v>42003.860977811935</v>
      </c>
      <c r="AJ179" s="85">
        <f t="shared" ref="AJ179" si="264">AI184</f>
        <v>42107.947207440855</v>
      </c>
      <c r="AK179" s="85">
        <f t="shared" ref="AK179" si="265">AJ184</f>
        <v>42209.864973952506</v>
      </c>
      <c r="AL179" s="85">
        <f t="shared" ref="AL179" si="266">AK184</f>
        <v>42309.659453661829</v>
      </c>
      <c r="AM179" s="85">
        <f t="shared" ref="AM179" si="267">AL184</f>
        <v>42407.374881710537</v>
      </c>
      <c r="AN179" s="85">
        <f t="shared" ref="AN179" si="268">AM184</f>
        <v>42503.054571674904</v>
      </c>
      <c r="AO179" s="85">
        <f t="shared" ref="AO179" si="269">AN184</f>
        <v>42596.74093476501</v>
      </c>
      <c r="AP179" s="85">
        <f t="shared" ref="AP179" si="270">AO184</f>
        <v>42688.475498624073</v>
      </c>
      <c r="AQ179" s="85">
        <f t="shared" ref="AQ179" si="271">AP184</f>
        <v>42778.298925736075</v>
      </c>
      <c r="AR179" s="85">
        <f t="shared" ref="AR179" si="272">AQ184</f>
        <v>42866.251031449909</v>
      </c>
      <c r="AS179" s="85">
        <f t="shared" ref="AS179" si="273">AR184</f>
        <v>42952.370801628036</v>
      </c>
      <c r="AT179" s="85">
        <f t="shared" ref="AT179" si="274">AS184</f>
        <v>43036.696409927456</v>
      </c>
      <c r="AU179" s="85">
        <f t="shared" ref="AU179" si="275">AT184</f>
        <v>43119.265234720631</v>
      </c>
      <c r="AV179" s="85">
        <f t="shared" ref="AV179" si="276">AU184</f>
        <v>43200.113875663948</v>
      </c>
      <c r="AW179" s="85">
        <f t="shared" ref="AW179" si="277">AV184</f>
        <v>43279.278169920952</v>
      </c>
      <c r="AX179" s="85">
        <f t="shared" ref="AX179" si="278">AW184</f>
        <v>43356.793208047602</v>
      </c>
      <c r="AY179" s="85">
        <f t="shared" ref="AY179" si="279">AX184</f>
        <v>42453.526682879943</v>
      </c>
    </row>
    <row r="180" spans="1:51" s="84" customFormat="1" ht="12.75" x14ac:dyDescent="0.2">
      <c r="A180" s="84" t="str">
        <f>A122</f>
        <v>Cashstream 2: Capital Costs</v>
      </c>
      <c r="B180" s="84" t="str">
        <f>B122</f>
        <v>$ Real</v>
      </c>
      <c r="C180" s="78">
        <f>SUM(D180:AY180)</f>
        <v>81000</v>
      </c>
      <c r="D180" s="85">
        <f t="shared" ref="D180:AY180" si="280">D122</f>
        <v>0</v>
      </c>
      <c r="E180" s="85">
        <f t="shared" si="280"/>
        <v>5000</v>
      </c>
      <c r="F180" s="85">
        <f t="shared" si="280"/>
        <v>9000</v>
      </c>
      <c r="G180" s="85">
        <f t="shared" si="280"/>
        <v>13000</v>
      </c>
      <c r="H180" s="85">
        <f t="shared" si="280"/>
        <v>6000</v>
      </c>
      <c r="I180" s="85">
        <f t="shared" si="280"/>
        <v>9000</v>
      </c>
      <c r="J180" s="85">
        <f t="shared" si="280"/>
        <v>0</v>
      </c>
      <c r="K180" s="85">
        <f t="shared" si="280"/>
        <v>1000</v>
      </c>
      <c r="L180" s="85">
        <f t="shared" si="280"/>
        <v>1000</v>
      </c>
      <c r="M180" s="85">
        <f t="shared" si="280"/>
        <v>1000</v>
      </c>
      <c r="N180" s="85">
        <f t="shared" si="280"/>
        <v>1000</v>
      </c>
      <c r="O180" s="85">
        <f t="shared" si="280"/>
        <v>1000</v>
      </c>
      <c r="P180" s="85">
        <f t="shared" si="280"/>
        <v>1000</v>
      </c>
      <c r="Q180" s="85">
        <f t="shared" si="280"/>
        <v>1000</v>
      </c>
      <c r="R180" s="85">
        <f t="shared" si="280"/>
        <v>1000</v>
      </c>
      <c r="S180" s="85">
        <f t="shared" si="280"/>
        <v>1000</v>
      </c>
      <c r="T180" s="85">
        <f t="shared" si="280"/>
        <v>1000</v>
      </c>
      <c r="U180" s="85">
        <f t="shared" si="280"/>
        <v>1000</v>
      </c>
      <c r="V180" s="85">
        <f t="shared" si="280"/>
        <v>1000</v>
      </c>
      <c r="W180" s="85">
        <f t="shared" si="280"/>
        <v>1000</v>
      </c>
      <c r="X180" s="85">
        <f t="shared" si="280"/>
        <v>1000</v>
      </c>
      <c r="Y180" s="85">
        <f t="shared" si="280"/>
        <v>1000</v>
      </c>
      <c r="Z180" s="85">
        <f t="shared" si="280"/>
        <v>1000</v>
      </c>
      <c r="AA180" s="85">
        <f t="shared" si="280"/>
        <v>1000</v>
      </c>
      <c r="AB180" s="85">
        <f t="shared" si="280"/>
        <v>1000</v>
      </c>
      <c r="AC180" s="85">
        <f t="shared" si="280"/>
        <v>1000</v>
      </c>
      <c r="AD180" s="85">
        <f t="shared" si="280"/>
        <v>1000</v>
      </c>
      <c r="AE180" s="85">
        <f t="shared" si="280"/>
        <v>1000</v>
      </c>
      <c r="AF180" s="85">
        <f t="shared" si="280"/>
        <v>1000</v>
      </c>
      <c r="AG180" s="85">
        <f t="shared" si="280"/>
        <v>1000</v>
      </c>
      <c r="AH180" s="85">
        <f t="shared" si="280"/>
        <v>1000</v>
      </c>
      <c r="AI180" s="85">
        <f t="shared" si="280"/>
        <v>1000</v>
      </c>
      <c r="AJ180" s="85">
        <f t="shared" si="280"/>
        <v>1000</v>
      </c>
      <c r="AK180" s="85">
        <f t="shared" si="280"/>
        <v>1000</v>
      </c>
      <c r="AL180" s="85">
        <f t="shared" si="280"/>
        <v>1000</v>
      </c>
      <c r="AM180" s="85">
        <f t="shared" si="280"/>
        <v>1000</v>
      </c>
      <c r="AN180" s="85">
        <f t="shared" si="280"/>
        <v>1000</v>
      </c>
      <c r="AO180" s="85">
        <f t="shared" si="280"/>
        <v>1000</v>
      </c>
      <c r="AP180" s="85">
        <f t="shared" si="280"/>
        <v>1000</v>
      </c>
      <c r="AQ180" s="85">
        <f t="shared" si="280"/>
        <v>1000</v>
      </c>
      <c r="AR180" s="85">
        <f t="shared" si="280"/>
        <v>1000</v>
      </c>
      <c r="AS180" s="85">
        <f t="shared" si="280"/>
        <v>1000</v>
      </c>
      <c r="AT180" s="85">
        <f t="shared" si="280"/>
        <v>1000</v>
      </c>
      <c r="AU180" s="85">
        <f t="shared" si="280"/>
        <v>1000</v>
      </c>
      <c r="AV180" s="85">
        <f t="shared" si="280"/>
        <v>1000</v>
      </c>
      <c r="AW180" s="85">
        <f t="shared" si="280"/>
        <v>1000</v>
      </c>
      <c r="AX180" s="85">
        <f t="shared" si="280"/>
        <v>0</v>
      </c>
      <c r="AY180" s="85">
        <f t="shared" si="280"/>
        <v>0</v>
      </c>
    </row>
    <row r="181" spans="1:51" s="84" customFormat="1" ht="12.75" x14ac:dyDescent="0.2">
      <c r="A181" s="84" t="s">
        <v>41</v>
      </c>
      <c r="B181" s="84">
        <f>B123</f>
        <v>0</v>
      </c>
      <c r="C181" s="85"/>
      <c r="D181" s="85">
        <f t="shared" ref="D181" si="281">D179+D180</f>
        <v>0</v>
      </c>
      <c r="E181" s="85">
        <f t="shared" ref="E181" si="282">E179+E180</f>
        <v>5000</v>
      </c>
      <c r="F181" s="85">
        <f t="shared" ref="F181" si="283">F179+F180</f>
        <v>13895.833333333332</v>
      </c>
      <c r="G181" s="85">
        <f t="shared" ref="G181" si="284">G179+G180</f>
        <v>26606.336805555555</v>
      </c>
      <c r="H181" s="85">
        <f t="shared" ref="H181" si="285">H179+H180</f>
        <v>32052.038122106482</v>
      </c>
      <c r="I181" s="85">
        <f t="shared" ref="I181" si="286">I179+I180</f>
        <v>40384.287327895931</v>
      </c>
      <c r="J181" s="85">
        <f t="shared" ref="J181" si="287">J179+J180</f>
        <v>39542.948008564766</v>
      </c>
      <c r="K181" s="85">
        <f t="shared" ref="K181" si="288">K179+K180</f>
        <v>39719.136591719667</v>
      </c>
      <c r="L181" s="85">
        <f t="shared" ref="L181" si="289">L179+L180</f>
        <v>39891.654579392176</v>
      </c>
      <c r="M181" s="85">
        <f t="shared" ref="M181" si="290">M179+M180</f>
        <v>40060.578442321508</v>
      </c>
      <c r="N181" s="85">
        <f t="shared" ref="N181" si="291">N179+N180</f>
        <v>40225.983058106474</v>
      </c>
      <c r="O181" s="85">
        <f t="shared" ref="O181" si="292">O179+O180</f>
        <v>40387.941744395925</v>
      </c>
      <c r="P181" s="85">
        <f t="shared" ref="P181" si="293">P179+P180</f>
        <v>40546.52629138768</v>
      </c>
      <c r="Q181" s="85">
        <f t="shared" ref="Q181" si="294">Q179+Q180</f>
        <v>40701.806993650433</v>
      </c>
      <c r="R181" s="85">
        <f t="shared" ref="R181" si="295">R179+R180</f>
        <v>40853.852681282719</v>
      </c>
      <c r="S181" s="85">
        <f t="shared" ref="S181" si="296">S179+S180</f>
        <v>41002.730750422663</v>
      </c>
      <c r="T181" s="85">
        <f t="shared" ref="T181" si="297">T179+T180</f>
        <v>41148.50719312219</v>
      </c>
      <c r="U181" s="85">
        <f t="shared" ref="U181" si="298">U179+U180</f>
        <v>41291.246626598811</v>
      </c>
      <c r="V181" s="85">
        <f t="shared" ref="V181" si="299">V179+V180</f>
        <v>41431.012321878006</v>
      </c>
      <c r="W181" s="85">
        <f t="shared" ref="W181" si="300">W179+W180</f>
        <v>41567.866231838882</v>
      </c>
      <c r="X181" s="85">
        <f t="shared" ref="X181" si="301">X179+X180</f>
        <v>41701.86901867557</v>
      </c>
      <c r="Y181" s="85">
        <f t="shared" ref="Y181" si="302">Y179+Y180</f>
        <v>41833.080080786494</v>
      </c>
      <c r="Z181" s="85">
        <f t="shared" ref="Z181" si="303">Z179+Z180</f>
        <v>41961.557579103443</v>
      </c>
      <c r="AA181" s="85">
        <f t="shared" ref="AA181" si="304">AA179+AA180</f>
        <v>42087.358462872122</v>
      </c>
      <c r="AB181" s="85">
        <f t="shared" ref="AB181" si="305">AB179+AB180</f>
        <v>42210.53849489562</v>
      </c>
      <c r="AC181" s="85">
        <f t="shared" ref="AC181" si="306">AC179+AC180</f>
        <v>42331.15227625196</v>
      </c>
      <c r="AD181" s="85">
        <f t="shared" ref="AD181" si="307">AD179+AD180</f>
        <v>42449.253270496709</v>
      </c>
      <c r="AE181" s="85">
        <f t="shared" ref="AE181" si="308">AE179+AE180</f>
        <v>42564.89382736136</v>
      </c>
      <c r="AF181" s="85">
        <f t="shared" ref="AF181" si="309">AF179+AF180</f>
        <v>42678.125205958</v>
      </c>
      <c r="AG181" s="85">
        <f t="shared" ref="AG181" si="310">AG179+AG180</f>
        <v>42788.997597500544</v>
      </c>
      <c r="AH181" s="85">
        <f t="shared" ref="AH181" si="311">AH179+AH180</f>
        <v>42897.560147552613</v>
      </c>
      <c r="AI181" s="85">
        <f t="shared" ref="AI181" si="312">AI179+AI180</f>
        <v>43003.860977811935</v>
      </c>
      <c r="AJ181" s="85">
        <f t="shared" ref="AJ181:AY181" si="313">AJ179+AJ180</f>
        <v>43107.947207440855</v>
      </c>
      <c r="AK181" s="85">
        <f t="shared" si="313"/>
        <v>43209.864973952506</v>
      </c>
      <c r="AL181" s="85">
        <f t="shared" si="313"/>
        <v>43309.659453661829</v>
      </c>
      <c r="AM181" s="85">
        <f t="shared" si="313"/>
        <v>43407.374881710537</v>
      </c>
      <c r="AN181" s="85">
        <f t="shared" si="313"/>
        <v>43503.054571674904</v>
      </c>
      <c r="AO181" s="85">
        <f t="shared" si="313"/>
        <v>43596.74093476501</v>
      </c>
      <c r="AP181" s="85">
        <f t="shared" si="313"/>
        <v>43688.475498624073</v>
      </c>
      <c r="AQ181" s="85">
        <f t="shared" si="313"/>
        <v>43778.298925736075</v>
      </c>
      <c r="AR181" s="85">
        <f t="shared" si="313"/>
        <v>43866.251031449909</v>
      </c>
      <c r="AS181" s="85">
        <f t="shared" si="313"/>
        <v>43952.370801628036</v>
      </c>
      <c r="AT181" s="85">
        <f t="shared" si="313"/>
        <v>44036.696409927456</v>
      </c>
      <c r="AU181" s="85">
        <f t="shared" si="313"/>
        <v>44119.265234720631</v>
      </c>
      <c r="AV181" s="85">
        <f t="shared" si="313"/>
        <v>44200.113875663948</v>
      </c>
      <c r="AW181" s="85">
        <f t="shared" si="313"/>
        <v>44279.278169920952</v>
      </c>
      <c r="AX181" s="85">
        <f t="shared" si="313"/>
        <v>43356.793208047602</v>
      </c>
      <c r="AY181" s="85">
        <f t="shared" si="313"/>
        <v>42453.526682879943</v>
      </c>
    </row>
    <row r="182" spans="1:51" s="13" customFormat="1" ht="12.75" x14ac:dyDescent="0.2">
      <c r="A182" s="103" t="s">
        <v>40</v>
      </c>
      <c r="B182" s="103" t="s">
        <v>38</v>
      </c>
      <c r="C182" s="85"/>
      <c r="D182" s="104">
        <f>25%^1/12</f>
        <v>2.0833333333333332E-2</v>
      </c>
      <c r="E182" s="104">
        <f t="shared" ref="E182:V182" si="314">D182</f>
        <v>2.0833333333333332E-2</v>
      </c>
      <c r="F182" s="104">
        <f t="shared" si="314"/>
        <v>2.0833333333333332E-2</v>
      </c>
      <c r="G182" s="104">
        <f t="shared" si="314"/>
        <v>2.0833333333333332E-2</v>
      </c>
      <c r="H182" s="104">
        <f t="shared" si="314"/>
        <v>2.0833333333333332E-2</v>
      </c>
      <c r="I182" s="104">
        <f t="shared" si="314"/>
        <v>2.0833333333333332E-2</v>
      </c>
      <c r="J182" s="104">
        <f t="shared" si="314"/>
        <v>2.0833333333333332E-2</v>
      </c>
      <c r="K182" s="104">
        <f t="shared" si="314"/>
        <v>2.0833333333333332E-2</v>
      </c>
      <c r="L182" s="104">
        <f t="shared" si="314"/>
        <v>2.0833333333333332E-2</v>
      </c>
      <c r="M182" s="104">
        <f t="shared" si="314"/>
        <v>2.0833333333333332E-2</v>
      </c>
      <c r="N182" s="104">
        <f t="shared" si="314"/>
        <v>2.0833333333333332E-2</v>
      </c>
      <c r="O182" s="104">
        <f t="shared" si="314"/>
        <v>2.0833333333333332E-2</v>
      </c>
      <c r="P182" s="104">
        <f t="shared" si="314"/>
        <v>2.0833333333333332E-2</v>
      </c>
      <c r="Q182" s="104">
        <f t="shared" si="314"/>
        <v>2.0833333333333332E-2</v>
      </c>
      <c r="R182" s="104">
        <f t="shared" si="314"/>
        <v>2.0833333333333332E-2</v>
      </c>
      <c r="S182" s="104">
        <f t="shared" si="314"/>
        <v>2.0833333333333332E-2</v>
      </c>
      <c r="T182" s="104">
        <f t="shared" si="314"/>
        <v>2.0833333333333332E-2</v>
      </c>
      <c r="U182" s="104">
        <f t="shared" si="314"/>
        <v>2.0833333333333332E-2</v>
      </c>
      <c r="V182" s="104">
        <f t="shared" si="314"/>
        <v>2.0833333333333332E-2</v>
      </c>
      <c r="W182" s="104">
        <f t="shared" ref="W182" si="315">V182</f>
        <v>2.0833333333333332E-2</v>
      </c>
      <c r="X182" s="104">
        <f t="shared" ref="X182" si="316">W182</f>
        <v>2.0833333333333332E-2</v>
      </c>
      <c r="Y182" s="104">
        <f t="shared" ref="Y182" si="317">X182</f>
        <v>2.0833333333333332E-2</v>
      </c>
      <c r="Z182" s="104">
        <f t="shared" ref="Z182" si="318">Y182</f>
        <v>2.0833333333333332E-2</v>
      </c>
      <c r="AA182" s="104">
        <f t="shared" ref="AA182" si="319">Z182</f>
        <v>2.0833333333333332E-2</v>
      </c>
      <c r="AB182" s="104">
        <f t="shared" ref="AB182" si="320">AA182</f>
        <v>2.0833333333333332E-2</v>
      </c>
      <c r="AC182" s="104">
        <f t="shared" ref="AC182" si="321">AB182</f>
        <v>2.0833333333333332E-2</v>
      </c>
      <c r="AD182" s="104">
        <f t="shared" ref="AD182" si="322">AC182</f>
        <v>2.0833333333333332E-2</v>
      </c>
      <c r="AE182" s="104">
        <f t="shared" ref="AE182" si="323">AD182</f>
        <v>2.0833333333333332E-2</v>
      </c>
      <c r="AF182" s="104">
        <f t="shared" ref="AF182" si="324">AE182</f>
        <v>2.0833333333333332E-2</v>
      </c>
      <c r="AG182" s="104">
        <f t="shared" ref="AG182" si="325">AF182</f>
        <v>2.0833333333333332E-2</v>
      </c>
      <c r="AH182" s="104">
        <f t="shared" ref="AH182" si="326">AG182</f>
        <v>2.0833333333333332E-2</v>
      </c>
      <c r="AI182" s="104">
        <f t="shared" ref="AI182" si="327">AH182</f>
        <v>2.0833333333333332E-2</v>
      </c>
      <c r="AJ182" s="104">
        <f t="shared" ref="AJ182" si="328">AI182</f>
        <v>2.0833333333333332E-2</v>
      </c>
      <c r="AK182" s="104">
        <f t="shared" ref="AK182" si="329">AJ182</f>
        <v>2.0833333333333332E-2</v>
      </c>
      <c r="AL182" s="104">
        <f t="shared" ref="AL182" si="330">AK182</f>
        <v>2.0833333333333332E-2</v>
      </c>
      <c r="AM182" s="104">
        <f t="shared" ref="AM182" si="331">AL182</f>
        <v>2.0833333333333332E-2</v>
      </c>
      <c r="AN182" s="104">
        <f t="shared" ref="AN182" si="332">AM182</f>
        <v>2.0833333333333332E-2</v>
      </c>
      <c r="AO182" s="104">
        <f t="shared" ref="AO182" si="333">AN182</f>
        <v>2.0833333333333332E-2</v>
      </c>
      <c r="AP182" s="104">
        <f t="shared" ref="AP182" si="334">AO182</f>
        <v>2.0833333333333332E-2</v>
      </c>
      <c r="AQ182" s="104">
        <f t="shared" ref="AQ182" si="335">AP182</f>
        <v>2.0833333333333332E-2</v>
      </c>
      <c r="AR182" s="104">
        <f t="shared" ref="AR182" si="336">AQ182</f>
        <v>2.0833333333333332E-2</v>
      </c>
      <c r="AS182" s="104">
        <f t="shared" ref="AS182" si="337">AR182</f>
        <v>2.0833333333333332E-2</v>
      </c>
      <c r="AT182" s="104">
        <f t="shared" ref="AT182" si="338">AS182</f>
        <v>2.0833333333333332E-2</v>
      </c>
      <c r="AU182" s="104">
        <f t="shared" ref="AU182" si="339">AT182</f>
        <v>2.0833333333333332E-2</v>
      </c>
      <c r="AV182" s="104">
        <f t="shared" ref="AV182" si="340">AU182</f>
        <v>2.0833333333333332E-2</v>
      </c>
      <c r="AW182" s="104">
        <f t="shared" ref="AW182" si="341">AV182</f>
        <v>2.0833333333333332E-2</v>
      </c>
      <c r="AX182" s="104">
        <f t="shared" ref="AX182" si="342">AW182</f>
        <v>2.0833333333333332E-2</v>
      </c>
      <c r="AY182" s="104">
        <f t="shared" ref="AY182" si="343">AX182</f>
        <v>2.0833333333333332E-2</v>
      </c>
    </row>
    <row r="183" spans="1:51" s="84" customFormat="1" ht="12.75" x14ac:dyDescent="0.2">
      <c r="A183" s="82" t="s">
        <v>81</v>
      </c>
      <c r="B183" s="96" t="s">
        <v>52</v>
      </c>
      <c r="C183" s="78">
        <f>SUM(D183:AY183)</f>
        <v>39430.921789680069</v>
      </c>
      <c r="D183" s="78">
        <f t="shared" ref="D183:V183" si="344">D182*D181</f>
        <v>0</v>
      </c>
      <c r="E183" s="78">
        <f t="shared" si="344"/>
        <v>104.16666666666666</v>
      </c>
      <c r="F183" s="78">
        <f t="shared" si="344"/>
        <v>289.49652777777771</v>
      </c>
      <c r="G183" s="78">
        <f t="shared" si="344"/>
        <v>554.29868344907402</v>
      </c>
      <c r="H183" s="78">
        <f t="shared" si="344"/>
        <v>667.7507942105517</v>
      </c>
      <c r="I183" s="78">
        <f t="shared" si="344"/>
        <v>841.33931933116514</v>
      </c>
      <c r="J183" s="78">
        <f t="shared" si="344"/>
        <v>823.8114168450993</v>
      </c>
      <c r="K183" s="78">
        <f t="shared" si="344"/>
        <v>827.48201232749307</v>
      </c>
      <c r="L183" s="78">
        <f t="shared" si="344"/>
        <v>831.07613707067026</v>
      </c>
      <c r="M183" s="78">
        <f t="shared" si="344"/>
        <v>834.59538421503134</v>
      </c>
      <c r="N183" s="78">
        <f t="shared" si="344"/>
        <v>838.04131371055155</v>
      </c>
      <c r="O183" s="78">
        <f t="shared" si="344"/>
        <v>841.41545300824839</v>
      </c>
      <c r="P183" s="78">
        <f t="shared" si="344"/>
        <v>844.71929773724332</v>
      </c>
      <c r="Q183" s="78">
        <f t="shared" si="344"/>
        <v>847.95431236771731</v>
      </c>
      <c r="R183" s="78">
        <f t="shared" si="344"/>
        <v>851.12193086005664</v>
      </c>
      <c r="S183" s="78">
        <f t="shared" si="344"/>
        <v>854.22355730047207</v>
      </c>
      <c r="T183" s="78">
        <f t="shared" si="344"/>
        <v>857.26056652337888</v>
      </c>
      <c r="U183" s="78">
        <f t="shared" si="344"/>
        <v>860.2343047208085</v>
      </c>
      <c r="V183" s="78">
        <f t="shared" si="344"/>
        <v>863.14609003912506</v>
      </c>
      <c r="W183" s="78">
        <f t="shared" ref="W183" si="345">W182*W181</f>
        <v>865.99721316330999</v>
      </c>
      <c r="X183" s="78">
        <f t="shared" ref="X183" si="346">X182*X181</f>
        <v>868.7889378890743</v>
      </c>
      <c r="Y183" s="78">
        <f t="shared" ref="Y183" si="347">Y182*Y181</f>
        <v>871.52250168305193</v>
      </c>
      <c r="Z183" s="78">
        <f t="shared" ref="Z183" si="348">Z182*Z181</f>
        <v>874.19911623132168</v>
      </c>
      <c r="AA183" s="78">
        <f t="shared" ref="AA183" si="349">AA182*AA181</f>
        <v>876.81996797650254</v>
      </c>
      <c r="AB183" s="78">
        <f t="shared" ref="AB183" si="350">AB182*AB181</f>
        <v>879.38621864365871</v>
      </c>
      <c r="AC183" s="78">
        <f t="shared" ref="AC183" si="351">AC182*AC181</f>
        <v>881.89900575524916</v>
      </c>
      <c r="AD183" s="78">
        <f t="shared" ref="AD183" si="352">AD182*AD181</f>
        <v>884.3594431353481</v>
      </c>
      <c r="AE183" s="78">
        <f t="shared" ref="AE183" si="353">AE182*AE181</f>
        <v>886.76862140336164</v>
      </c>
      <c r="AF183" s="78">
        <f t="shared" ref="AF183" si="354">AF182*AF181</f>
        <v>889.12760845745834</v>
      </c>
      <c r="AG183" s="78">
        <f t="shared" ref="AG183" si="355">AG182*AG181</f>
        <v>891.43744994792792</v>
      </c>
      <c r="AH183" s="78">
        <f t="shared" ref="AH183" si="356">AH182*AH181</f>
        <v>893.69916974067939</v>
      </c>
      <c r="AI183" s="78">
        <f t="shared" ref="AI183" si="357">AI182*AI181</f>
        <v>895.91377037108191</v>
      </c>
      <c r="AJ183" s="78">
        <f t="shared" ref="AJ183:AY183" si="358">AJ182*AJ181</f>
        <v>898.08223348835111</v>
      </c>
      <c r="AK183" s="78">
        <f t="shared" si="358"/>
        <v>900.20552029067721</v>
      </c>
      <c r="AL183" s="78">
        <f t="shared" si="358"/>
        <v>902.28457195128806</v>
      </c>
      <c r="AM183" s="78">
        <f t="shared" si="358"/>
        <v>904.32031003563611</v>
      </c>
      <c r="AN183" s="78">
        <f t="shared" si="358"/>
        <v>906.31363690989383</v>
      </c>
      <c r="AO183" s="78">
        <f t="shared" si="358"/>
        <v>908.26543614093771</v>
      </c>
      <c r="AP183" s="78">
        <f t="shared" si="358"/>
        <v>910.17657288800149</v>
      </c>
      <c r="AQ183" s="78">
        <f t="shared" si="358"/>
        <v>912.04789428616823</v>
      </c>
      <c r="AR183" s="78">
        <f t="shared" si="358"/>
        <v>913.88022982187306</v>
      </c>
      <c r="AS183" s="78">
        <f t="shared" si="358"/>
        <v>915.67439170058401</v>
      </c>
      <c r="AT183" s="78">
        <f t="shared" si="358"/>
        <v>917.43117520682199</v>
      </c>
      <c r="AU183" s="78">
        <f t="shared" si="358"/>
        <v>919.15135905667978</v>
      </c>
      <c r="AV183" s="78">
        <f t="shared" si="358"/>
        <v>920.83570574299893</v>
      </c>
      <c r="AW183" s="78">
        <f t="shared" si="358"/>
        <v>922.48496187335309</v>
      </c>
      <c r="AX183" s="78">
        <f t="shared" si="358"/>
        <v>903.2665251676583</v>
      </c>
      <c r="AY183" s="78">
        <f t="shared" si="358"/>
        <v>884.44847255999878</v>
      </c>
    </row>
    <row r="184" spans="1:51" s="13" customFormat="1" ht="12.75" x14ac:dyDescent="0.2">
      <c r="A184" s="96" t="s">
        <v>79</v>
      </c>
      <c r="B184" s="96" t="s">
        <v>52</v>
      </c>
      <c r="C184" s="78"/>
      <c r="D184" s="85">
        <f t="shared" ref="D184:V184" si="359">D181-D183</f>
        <v>0</v>
      </c>
      <c r="E184" s="85">
        <f t="shared" si="359"/>
        <v>4895.833333333333</v>
      </c>
      <c r="F184" s="85">
        <f t="shared" si="359"/>
        <v>13606.336805555555</v>
      </c>
      <c r="G184" s="85">
        <f t="shared" si="359"/>
        <v>26052.038122106482</v>
      </c>
      <c r="H184" s="85">
        <f t="shared" si="359"/>
        <v>31384.287327895931</v>
      </c>
      <c r="I184" s="85">
        <f t="shared" si="359"/>
        <v>39542.948008564766</v>
      </c>
      <c r="J184" s="85">
        <f t="shared" si="359"/>
        <v>38719.136591719667</v>
      </c>
      <c r="K184" s="85">
        <f t="shared" si="359"/>
        <v>38891.654579392176</v>
      </c>
      <c r="L184" s="85">
        <f t="shared" si="359"/>
        <v>39060.578442321508</v>
      </c>
      <c r="M184" s="85">
        <f t="shared" si="359"/>
        <v>39225.983058106474</v>
      </c>
      <c r="N184" s="85">
        <f t="shared" si="359"/>
        <v>39387.941744395925</v>
      </c>
      <c r="O184" s="85">
        <f t="shared" si="359"/>
        <v>39546.52629138768</v>
      </c>
      <c r="P184" s="85">
        <f t="shared" si="359"/>
        <v>39701.806993650433</v>
      </c>
      <c r="Q184" s="85">
        <f t="shared" si="359"/>
        <v>39853.852681282719</v>
      </c>
      <c r="R184" s="85">
        <f t="shared" si="359"/>
        <v>40002.730750422663</v>
      </c>
      <c r="S184" s="85">
        <f t="shared" si="359"/>
        <v>40148.50719312219</v>
      </c>
      <c r="T184" s="85">
        <f t="shared" si="359"/>
        <v>40291.246626598811</v>
      </c>
      <c r="U184" s="85">
        <f t="shared" si="359"/>
        <v>40431.012321878006</v>
      </c>
      <c r="V184" s="85">
        <f t="shared" si="359"/>
        <v>40567.866231838882</v>
      </c>
      <c r="W184" s="85">
        <f t="shared" ref="W184" si="360">W181-W183</f>
        <v>40701.86901867557</v>
      </c>
      <c r="X184" s="85">
        <f t="shared" ref="X184" si="361">X181-X183</f>
        <v>40833.080080786494</v>
      </c>
      <c r="Y184" s="85">
        <f t="shared" ref="Y184" si="362">Y181-Y183</f>
        <v>40961.557579103443</v>
      </c>
      <c r="Z184" s="85">
        <f t="shared" ref="Z184" si="363">Z181-Z183</f>
        <v>41087.358462872122</v>
      </c>
      <c r="AA184" s="85">
        <f t="shared" ref="AA184" si="364">AA181-AA183</f>
        <v>41210.53849489562</v>
      </c>
      <c r="AB184" s="85">
        <f t="shared" ref="AB184" si="365">AB181-AB183</f>
        <v>41331.15227625196</v>
      </c>
      <c r="AC184" s="85">
        <f t="shared" ref="AC184" si="366">AC181-AC183</f>
        <v>41449.253270496709</v>
      </c>
      <c r="AD184" s="85">
        <f t="shared" ref="AD184" si="367">AD181-AD183</f>
        <v>41564.89382736136</v>
      </c>
      <c r="AE184" s="85">
        <f t="shared" ref="AE184" si="368">AE181-AE183</f>
        <v>41678.125205958</v>
      </c>
      <c r="AF184" s="85">
        <f t="shared" ref="AF184" si="369">AF181-AF183</f>
        <v>41788.997597500544</v>
      </c>
      <c r="AG184" s="85">
        <f t="shared" ref="AG184" si="370">AG181-AG183</f>
        <v>41897.560147552613</v>
      </c>
      <c r="AH184" s="85">
        <f t="shared" ref="AH184" si="371">AH181-AH183</f>
        <v>42003.860977811935</v>
      </c>
      <c r="AI184" s="85">
        <f t="shared" ref="AI184" si="372">AI181-AI183</f>
        <v>42107.947207440855</v>
      </c>
      <c r="AJ184" s="85">
        <f t="shared" ref="AJ184:AY184" si="373">AJ181-AJ183</f>
        <v>42209.864973952506</v>
      </c>
      <c r="AK184" s="85">
        <f t="shared" si="373"/>
        <v>42309.659453661829</v>
      </c>
      <c r="AL184" s="85">
        <f t="shared" si="373"/>
        <v>42407.374881710537</v>
      </c>
      <c r="AM184" s="85">
        <f t="shared" si="373"/>
        <v>42503.054571674904</v>
      </c>
      <c r="AN184" s="85">
        <f t="shared" si="373"/>
        <v>42596.74093476501</v>
      </c>
      <c r="AO184" s="85">
        <f t="shared" si="373"/>
        <v>42688.475498624073</v>
      </c>
      <c r="AP184" s="85">
        <f t="shared" si="373"/>
        <v>42778.298925736075</v>
      </c>
      <c r="AQ184" s="85">
        <f t="shared" si="373"/>
        <v>42866.251031449909</v>
      </c>
      <c r="AR184" s="85">
        <f t="shared" si="373"/>
        <v>42952.370801628036</v>
      </c>
      <c r="AS184" s="85">
        <f t="shared" si="373"/>
        <v>43036.696409927456</v>
      </c>
      <c r="AT184" s="85">
        <f t="shared" si="373"/>
        <v>43119.265234720631</v>
      </c>
      <c r="AU184" s="85">
        <f t="shared" si="373"/>
        <v>43200.113875663948</v>
      </c>
      <c r="AV184" s="85">
        <f t="shared" si="373"/>
        <v>43279.278169920952</v>
      </c>
      <c r="AW184" s="85">
        <f t="shared" si="373"/>
        <v>43356.793208047602</v>
      </c>
      <c r="AX184" s="85">
        <f t="shared" si="373"/>
        <v>42453.526682879943</v>
      </c>
      <c r="AY184" s="85">
        <f t="shared" si="373"/>
        <v>41569.078210319945</v>
      </c>
    </row>
    <row r="185" spans="1:51" s="13" customFormat="1" ht="15.75" customHeight="1" x14ac:dyDescent="0.2">
      <c r="A185" s="260" t="s">
        <v>29</v>
      </c>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row>
    <row r="186" spans="1:51" s="84" customFormat="1" ht="12.75" x14ac:dyDescent="0.2">
      <c r="A186" s="84" t="str">
        <f>A111</f>
        <v>Cashstream 1: Revenue</v>
      </c>
      <c r="B186" s="84" t="str">
        <f>B111</f>
        <v>$ Real</v>
      </c>
      <c r="C186" s="85">
        <f>SUM(D186:AY186)</f>
        <v>556498.19042399991</v>
      </c>
      <c r="D186" s="85">
        <f t="shared" ref="D186:AY186" si="374">D111</f>
        <v>0</v>
      </c>
      <c r="E186" s="85">
        <f t="shared" si="374"/>
        <v>0</v>
      </c>
      <c r="F186" s="85">
        <f t="shared" si="374"/>
        <v>0</v>
      </c>
      <c r="G186" s="85">
        <f t="shared" si="374"/>
        <v>0</v>
      </c>
      <c r="H186" s="85">
        <f t="shared" si="374"/>
        <v>0</v>
      </c>
      <c r="I186" s="85">
        <f t="shared" si="374"/>
        <v>0</v>
      </c>
      <c r="J186" s="85">
        <f t="shared" si="374"/>
        <v>6600</v>
      </c>
      <c r="K186" s="85">
        <f t="shared" si="374"/>
        <v>7260</v>
      </c>
      <c r="L186" s="85">
        <f t="shared" si="374"/>
        <v>7986</v>
      </c>
      <c r="M186" s="85">
        <f t="shared" si="374"/>
        <v>8784.6</v>
      </c>
      <c r="N186" s="85">
        <f t="shared" si="374"/>
        <v>9663.06</v>
      </c>
      <c r="O186" s="85">
        <f t="shared" si="374"/>
        <v>10629.366</v>
      </c>
      <c r="P186" s="85">
        <f t="shared" si="374"/>
        <v>11692.302600000003</v>
      </c>
      <c r="Q186" s="85">
        <f t="shared" si="374"/>
        <v>12861.532860000003</v>
      </c>
      <c r="R186" s="85">
        <f t="shared" si="374"/>
        <v>14147.686146000004</v>
      </c>
      <c r="S186" s="85">
        <f t="shared" si="374"/>
        <v>14147.686146000004</v>
      </c>
      <c r="T186" s="85">
        <f t="shared" si="374"/>
        <v>14147.686146000004</v>
      </c>
      <c r="U186" s="85">
        <f t="shared" si="374"/>
        <v>14147.686146000004</v>
      </c>
      <c r="V186" s="85">
        <f t="shared" si="374"/>
        <v>14147.686146000004</v>
      </c>
      <c r="W186" s="85">
        <f t="shared" si="374"/>
        <v>14147.686146000004</v>
      </c>
      <c r="X186" s="85">
        <f t="shared" si="374"/>
        <v>14147.686146000004</v>
      </c>
      <c r="Y186" s="85">
        <f t="shared" si="374"/>
        <v>14147.686146000004</v>
      </c>
      <c r="Z186" s="85">
        <f t="shared" si="374"/>
        <v>14147.686146000004</v>
      </c>
      <c r="AA186" s="85">
        <f t="shared" si="374"/>
        <v>14147.686146000004</v>
      </c>
      <c r="AB186" s="85">
        <f t="shared" si="374"/>
        <v>14147.686146000004</v>
      </c>
      <c r="AC186" s="85">
        <f t="shared" si="374"/>
        <v>14147.686146000004</v>
      </c>
      <c r="AD186" s="85">
        <f t="shared" si="374"/>
        <v>14147.686146000004</v>
      </c>
      <c r="AE186" s="85">
        <f t="shared" si="374"/>
        <v>14147.686146000004</v>
      </c>
      <c r="AF186" s="85">
        <f t="shared" si="374"/>
        <v>14147.686146000004</v>
      </c>
      <c r="AG186" s="85">
        <f t="shared" si="374"/>
        <v>14147.686146000004</v>
      </c>
      <c r="AH186" s="85">
        <f t="shared" si="374"/>
        <v>14147.686146000004</v>
      </c>
      <c r="AI186" s="85">
        <f t="shared" si="374"/>
        <v>14147.686146000004</v>
      </c>
      <c r="AJ186" s="85">
        <f t="shared" si="374"/>
        <v>14147.686146000004</v>
      </c>
      <c r="AK186" s="85">
        <f t="shared" si="374"/>
        <v>14147.686146000004</v>
      </c>
      <c r="AL186" s="85">
        <f t="shared" si="374"/>
        <v>14147.686146000004</v>
      </c>
      <c r="AM186" s="85">
        <f t="shared" si="374"/>
        <v>14147.686146000004</v>
      </c>
      <c r="AN186" s="85">
        <f t="shared" si="374"/>
        <v>14147.686146000004</v>
      </c>
      <c r="AO186" s="85">
        <f t="shared" si="374"/>
        <v>14147.686146000004</v>
      </c>
      <c r="AP186" s="85">
        <f t="shared" si="374"/>
        <v>14147.686146000004</v>
      </c>
      <c r="AQ186" s="85">
        <f t="shared" si="374"/>
        <v>14147.686146000004</v>
      </c>
      <c r="AR186" s="85">
        <f t="shared" si="374"/>
        <v>14147.686146000004</v>
      </c>
      <c r="AS186" s="85">
        <f t="shared" si="374"/>
        <v>14147.686146000004</v>
      </c>
      <c r="AT186" s="85">
        <f t="shared" si="374"/>
        <v>14147.686146000004</v>
      </c>
      <c r="AU186" s="85">
        <f t="shared" si="374"/>
        <v>14147.686146000004</v>
      </c>
      <c r="AV186" s="85">
        <f t="shared" si="374"/>
        <v>14147.686146000004</v>
      </c>
      <c r="AW186" s="85">
        <f t="shared" si="374"/>
        <v>14147.686146000004</v>
      </c>
      <c r="AX186" s="85">
        <f t="shared" si="374"/>
        <v>14147.686146000004</v>
      </c>
      <c r="AY186" s="85">
        <f t="shared" si="374"/>
        <v>14147.686146000004</v>
      </c>
    </row>
    <row r="187" spans="1:51" s="84" customFormat="1" ht="14.25" customHeight="1" x14ac:dyDescent="0.2">
      <c r="A187" s="84" t="s">
        <v>11</v>
      </c>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row>
    <row r="188" spans="1:51" s="84" customFormat="1" ht="12.75" x14ac:dyDescent="0.2">
      <c r="A188" s="84" t="str">
        <f>A141</f>
        <v>variable cost of production</v>
      </c>
      <c r="B188" s="84" t="str">
        <f>B141</f>
        <v>$ Real</v>
      </c>
      <c r="C188" s="105">
        <f>SUM(D188:AY188)</f>
        <v>326109.83979600004</v>
      </c>
      <c r="D188" s="105">
        <f t="shared" ref="D188:AY188" si="375">D141</f>
        <v>0</v>
      </c>
      <c r="E188" s="105">
        <f t="shared" si="375"/>
        <v>0</v>
      </c>
      <c r="F188" s="105">
        <f t="shared" si="375"/>
        <v>0</v>
      </c>
      <c r="G188" s="105">
        <f t="shared" si="375"/>
        <v>0</v>
      </c>
      <c r="H188" s="105">
        <f t="shared" si="375"/>
        <v>0</v>
      </c>
      <c r="I188" s="105">
        <f t="shared" si="375"/>
        <v>0</v>
      </c>
      <c r="J188" s="105">
        <f t="shared" si="375"/>
        <v>4173</v>
      </c>
      <c r="K188" s="105">
        <f t="shared" si="375"/>
        <v>4590.3</v>
      </c>
      <c r="L188" s="105">
        <f t="shared" si="375"/>
        <v>5049.33</v>
      </c>
      <c r="M188" s="105">
        <f t="shared" si="375"/>
        <v>5554.2629999999999</v>
      </c>
      <c r="N188" s="105">
        <f t="shared" si="375"/>
        <v>6109.6893</v>
      </c>
      <c r="O188" s="105">
        <f t="shared" si="375"/>
        <v>6720.6582300000018</v>
      </c>
      <c r="P188" s="105">
        <f t="shared" si="375"/>
        <v>7392.7240530000017</v>
      </c>
      <c r="Q188" s="105">
        <f t="shared" si="375"/>
        <v>8131.9964583000028</v>
      </c>
      <c r="R188" s="105">
        <f t="shared" si="375"/>
        <v>8359.9963590000025</v>
      </c>
      <c r="S188" s="105">
        <f t="shared" si="375"/>
        <v>8359.9963590000025</v>
      </c>
      <c r="T188" s="105">
        <f t="shared" si="375"/>
        <v>8359.9963590000025</v>
      </c>
      <c r="U188" s="105">
        <f t="shared" si="375"/>
        <v>8359.9963590000025</v>
      </c>
      <c r="V188" s="105">
        <f t="shared" si="375"/>
        <v>8359.9963590000025</v>
      </c>
      <c r="W188" s="105">
        <f t="shared" si="375"/>
        <v>8359.9963590000025</v>
      </c>
      <c r="X188" s="105">
        <f t="shared" si="375"/>
        <v>8359.9963590000025</v>
      </c>
      <c r="Y188" s="105">
        <f t="shared" si="375"/>
        <v>8359.9963590000025</v>
      </c>
      <c r="Z188" s="105">
        <f t="shared" si="375"/>
        <v>8359.9963590000025</v>
      </c>
      <c r="AA188" s="105">
        <f t="shared" si="375"/>
        <v>8359.9963590000025</v>
      </c>
      <c r="AB188" s="105">
        <f t="shared" si="375"/>
        <v>8359.9963590000025</v>
      </c>
      <c r="AC188" s="105">
        <f t="shared" si="375"/>
        <v>8359.9963590000025</v>
      </c>
      <c r="AD188" s="105">
        <f t="shared" si="375"/>
        <v>8359.9963590000025</v>
      </c>
      <c r="AE188" s="105">
        <f t="shared" si="375"/>
        <v>8359.9963590000025</v>
      </c>
      <c r="AF188" s="105">
        <f t="shared" si="375"/>
        <v>8359.9963590000025</v>
      </c>
      <c r="AG188" s="105">
        <f t="shared" si="375"/>
        <v>8359.9963590000025</v>
      </c>
      <c r="AH188" s="105">
        <f t="shared" si="375"/>
        <v>8359.9963590000025</v>
      </c>
      <c r="AI188" s="105">
        <f t="shared" si="375"/>
        <v>8359.9963590000025</v>
      </c>
      <c r="AJ188" s="105">
        <f t="shared" si="375"/>
        <v>8359.9963590000025</v>
      </c>
      <c r="AK188" s="105">
        <f t="shared" si="375"/>
        <v>8359.9963590000025</v>
      </c>
      <c r="AL188" s="105">
        <f t="shared" si="375"/>
        <v>8359.9963590000025</v>
      </c>
      <c r="AM188" s="105">
        <f t="shared" si="375"/>
        <v>8359.9963590000025</v>
      </c>
      <c r="AN188" s="105">
        <f t="shared" si="375"/>
        <v>8359.9963590000025</v>
      </c>
      <c r="AO188" s="105">
        <f t="shared" si="375"/>
        <v>8359.9963590000025</v>
      </c>
      <c r="AP188" s="105">
        <f t="shared" si="375"/>
        <v>8359.9963590000025</v>
      </c>
      <c r="AQ188" s="105">
        <f t="shared" si="375"/>
        <v>8359.9963590000025</v>
      </c>
      <c r="AR188" s="105">
        <f t="shared" si="375"/>
        <v>8359.9963590000025</v>
      </c>
      <c r="AS188" s="105">
        <f t="shared" si="375"/>
        <v>8359.9963590000025</v>
      </c>
      <c r="AT188" s="105">
        <f t="shared" si="375"/>
        <v>8359.9963590000025</v>
      </c>
      <c r="AU188" s="105">
        <f t="shared" si="375"/>
        <v>8359.9963590000025</v>
      </c>
      <c r="AV188" s="105">
        <f t="shared" si="375"/>
        <v>8359.9963590000025</v>
      </c>
      <c r="AW188" s="105">
        <f t="shared" si="375"/>
        <v>8359.9963590000025</v>
      </c>
      <c r="AX188" s="105">
        <f t="shared" si="375"/>
        <v>8359.9963590000025</v>
      </c>
      <c r="AY188" s="105">
        <f t="shared" si="375"/>
        <v>2507.9989077000005</v>
      </c>
    </row>
    <row r="189" spans="1:51" s="84" customFormat="1" ht="12.75" x14ac:dyDescent="0.2">
      <c r="A189" s="84" t="str">
        <f>A151</f>
        <v>fixed costs</v>
      </c>
      <c r="B189" s="84" t="str">
        <f>B151</f>
        <v>$ Real</v>
      </c>
      <c r="C189" s="105">
        <f>SUM(D189:AY189)</f>
        <v>58080</v>
      </c>
      <c r="D189" s="105">
        <f t="shared" ref="D189:AY189" si="376">D151</f>
        <v>1210</v>
      </c>
      <c r="E189" s="105">
        <f t="shared" si="376"/>
        <v>1210</v>
      </c>
      <c r="F189" s="105">
        <f t="shared" si="376"/>
        <v>1210</v>
      </c>
      <c r="G189" s="105">
        <f t="shared" si="376"/>
        <v>1210</v>
      </c>
      <c r="H189" s="105">
        <f t="shared" si="376"/>
        <v>1210</v>
      </c>
      <c r="I189" s="105">
        <f t="shared" si="376"/>
        <v>1210</v>
      </c>
      <c r="J189" s="105">
        <f t="shared" si="376"/>
        <v>1210</v>
      </c>
      <c r="K189" s="105">
        <f t="shared" si="376"/>
        <v>1210</v>
      </c>
      <c r="L189" s="105">
        <f t="shared" si="376"/>
        <v>1210</v>
      </c>
      <c r="M189" s="105">
        <f t="shared" si="376"/>
        <v>1210</v>
      </c>
      <c r="N189" s="105">
        <f t="shared" si="376"/>
        <v>1210</v>
      </c>
      <c r="O189" s="105">
        <f t="shared" si="376"/>
        <v>1210</v>
      </c>
      <c r="P189" s="105">
        <f t="shared" si="376"/>
        <v>1210</v>
      </c>
      <c r="Q189" s="105">
        <f t="shared" si="376"/>
        <v>1210</v>
      </c>
      <c r="R189" s="105">
        <f t="shared" si="376"/>
        <v>1210</v>
      </c>
      <c r="S189" s="105">
        <f t="shared" si="376"/>
        <v>1210</v>
      </c>
      <c r="T189" s="105">
        <f t="shared" si="376"/>
        <v>1210</v>
      </c>
      <c r="U189" s="105">
        <f t="shared" si="376"/>
        <v>1210</v>
      </c>
      <c r="V189" s="105">
        <f t="shared" si="376"/>
        <v>1210</v>
      </c>
      <c r="W189" s="105">
        <f t="shared" si="376"/>
        <v>1210</v>
      </c>
      <c r="X189" s="105">
        <f t="shared" si="376"/>
        <v>1210</v>
      </c>
      <c r="Y189" s="105">
        <f t="shared" si="376"/>
        <v>1210</v>
      </c>
      <c r="Z189" s="105">
        <f t="shared" si="376"/>
        <v>1210</v>
      </c>
      <c r="AA189" s="105">
        <f t="shared" si="376"/>
        <v>1210</v>
      </c>
      <c r="AB189" s="105">
        <f t="shared" si="376"/>
        <v>1210</v>
      </c>
      <c r="AC189" s="105">
        <f t="shared" si="376"/>
        <v>1210</v>
      </c>
      <c r="AD189" s="105">
        <f t="shared" si="376"/>
        <v>1210</v>
      </c>
      <c r="AE189" s="105">
        <f t="shared" si="376"/>
        <v>1210</v>
      </c>
      <c r="AF189" s="105">
        <f t="shared" si="376"/>
        <v>1210</v>
      </c>
      <c r="AG189" s="105">
        <f t="shared" si="376"/>
        <v>1210</v>
      </c>
      <c r="AH189" s="105">
        <f t="shared" si="376"/>
        <v>1210</v>
      </c>
      <c r="AI189" s="105">
        <f t="shared" si="376"/>
        <v>1210</v>
      </c>
      <c r="AJ189" s="105">
        <f t="shared" si="376"/>
        <v>1210</v>
      </c>
      <c r="AK189" s="105">
        <f t="shared" si="376"/>
        <v>1210</v>
      </c>
      <c r="AL189" s="105">
        <f t="shared" si="376"/>
        <v>1210</v>
      </c>
      <c r="AM189" s="105">
        <f t="shared" si="376"/>
        <v>1210</v>
      </c>
      <c r="AN189" s="105">
        <f t="shared" si="376"/>
        <v>1210</v>
      </c>
      <c r="AO189" s="105">
        <f t="shared" si="376"/>
        <v>1210</v>
      </c>
      <c r="AP189" s="105">
        <f t="shared" si="376"/>
        <v>1210</v>
      </c>
      <c r="AQ189" s="105">
        <f t="shared" si="376"/>
        <v>1210</v>
      </c>
      <c r="AR189" s="105">
        <f t="shared" si="376"/>
        <v>1210</v>
      </c>
      <c r="AS189" s="105">
        <f t="shared" si="376"/>
        <v>1210</v>
      </c>
      <c r="AT189" s="105">
        <f t="shared" si="376"/>
        <v>1210</v>
      </c>
      <c r="AU189" s="105">
        <f t="shared" si="376"/>
        <v>1210</v>
      </c>
      <c r="AV189" s="105">
        <f t="shared" si="376"/>
        <v>1210</v>
      </c>
      <c r="AW189" s="105">
        <f t="shared" si="376"/>
        <v>1210</v>
      </c>
      <c r="AX189" s="105">
        <f t="shared" si="376"/>
        <v>1210</v>
      </c>
      <c r="AY189" s="105">
        <f t="shared" si="376"/>
        <v>1210</v>
      </c>
    </row>
    <row r="190" spans="1:51" s="84" customFormat="1" ht="12.75" x14ac:dyDescent="0.2">
      <c r="A190" s="84" t="str">
        <f>A183</f>
        <v>Tax deductions for capital expenditure</v>
      </c>
      <c r="B190" s="84" t="str">
        <f>B183</f>
        <v>$ Real</v>
      </c>
      <c r="C190" s="105">
        <f>SUM(D190:AY190)</f>
        <v>39430.921789680069</v>
      </c>
      <c r="D190" s="105">
        <f t="shared" ref="D190:AY190" si="377">D183</f>
        <v>0</v>
      </c>
      <c r="E190" s="105">
        <f t="shared" si="377"/>
        <v>104.16666666666666</v>
      </c>
      <c r="F190" s="105">
        <f t="shared" si="377"/>
        <v>289.49652777777771</v>
      </c>
      <c r="G190" s="105">
        <f t="shared" si="377"/>
        <v>554.29868344907402</v>
      </c>
      <c r="H190" s="105">
        <f t="shared" si="377"/>
        <v>667.7507942105517</v>
      </c>
      <c r="I190" s="105">
        <f t="shared" si="377"/>
        <v>841.33931933116514</v>
      </c>
      <c r="J190" s="105">
        <f t="shared" si="377"/>
        <v>823.8114168450993</v>
      </c>
      <c r="K190" s="105">
        <f t="shared" si="377"/>
        <v>827.48201232749307</v>
      </c>
      <c r="L190" s="105">
        <f t="shared" si="377"/>
        <v>831.07613707067026</v>
      </c>
      <c r="M190" s="105">
        <f t="shared" si="377"/>
        <v>834.59538421503134</v>
      </c>
      <c r="N190" s="105">
        <f t="shared" si="377"/>
        <v>838.04131371055155</v>
      </c>
      <c r="O190" s="105">
        <f t="shared" si="377"/>
        <v>841.41545300824839</v>
      </c>
      <c r="P190" s="105">
        <f t="shared" si="377"/>
        <v>844.71929773724332</v>
      </c>
      <c r="Q190" s="105">
        <f t="shared" si="377"/>
        <v>847.95431236771731</v>
      </c>
      <c r="R190" s="105">
        <f t="shared" si="377"/>
        <v>851.12193086005664</v>
      </c>
      <c r="S190" s="105">
        <f t="shared" si="377"/>
        <v>854.22355730047207</v>
      </c>
      <c r="T190" s="105">
        <f t="shared" si="377"/>
        <v>857.26056652337888</v>
      </c>
      <c r="U190" s="105">
        <f t="shared" si="377"/>
        <v>860.2343047208085</v>
      </c>
      <c r="V190" s="105">
        <f t="shared" si="377"/>
        <v>863.14609003912506</v>
      </c>
      <c r="W190" s="105">
        <f t="shared" si="377"/>
        <v>865.99721316330999</v>
      </c>
      <c r="X190" s="105">
        <f t="shared" si="377"/>
        <v>868.7889378890743</v>
      </c>
      <c r="Y190" s="105">
        <f t="shared" si="377"/>
        <v>871.52250168305193</v>
      </c>
      <c r="Z190" s="105">
        <f t="shared" si="377"/>
        <v>874.19911623132168</v>
      </c>
      <c r="AA190" s="105">
        <f t="shared" si="377"/>
        <v>876.81996797650254</v>
      </c>
      <c r="AB190" s="105">
        <f t="shared" si="377"/>
        <v>879.38621864365871</v>
      </c>
      <c r="AC190" s="105">
        <f t="shared" si="377"/>
        <v>881.89900575524916</v>
      </c>
      <c r="AD190" s="105">
        <f t="shared" si="377"/>
        <v>884.3594431353481</v>
      </c>
      <c r="AE190" s="105">
        <f t="shared" si="377"/>
        <v>886.76862140336164</v>
      </c>
      <c r="AF190" s="105">
        <f t="shared" si="377"/>
        <v>889.12760845745834</v>
      </c>
      <c r="AG190" s="105">
        <f t="shared" si="377"/>
        <v>891.43744994792792</v>
      </c>
      <c r="AH190" s="105">
        <f t="shared" si="377"/>
        <v>893.69916974067939</v>
      </c>
      <c r="AI190" s="105">
        <f t="shared" si="377"/>
        <v>895.91377037108191</v>
      </c>
      <c r="AJ190" s="105">
        <f t="shared" si="377"/>
        <v>898.08223348835111</v>
      </c>
      <c r="AK190" s="105">
        <f t="shared" si="377"/>
        <v>900.20552029067721</v>
      </c>
      <c r="AL190" s="105">
        <f t="shared" si="377"/>
        <v>902.28457195128806</v>
      </c>
      <c r="AM190" s="105">
        <f t="shared" si="377"/>
        <v>904.32031003563611</v>
      </c>
      <c r="AN190" s="105">
        <f t="shared" si="377"/>
        <v>906.31363690989383</v>
      </c>
      <c r="AO190" s="105">
        <f t="shared" si="377"/>
        <v>908.26543614093771</v>
      </c>
      <c r="AP190" s="105">
        <f t="shared" si="377"/>
        <v>910.17657288800149</v>
      </c>
      <c r="AQ190" s="105">
        <f t="shared" si="377"/>
        <v>912.04789428616823</v>
      </c>
      <c r="AR190" s="105">
        <f t="shared" si="377"/>
        <v>913.88022982187306</v>
      </c>
      <c r="AS190" s="105">
        <f t="shared" si="377"/>
        <v>915.67439170058401</v>
      </c>
      <c r="AT190" s="105">
        <f t="shared" si="377"/>
        <v>917.43117520682199</v>
      </c>
      <c r="AU190" s="105">
        <f t="shared" si="377"/>
        <v>919.15135905667978</v>
      </c>
      <c r="AV190" s="105">
        <f t="shared" si="377"/>
        <v>920.83570574299893</v>
      </c>
      <c r="AW190" s="105">
        <f t="shared" si="377"/>
        <v>922.48496187335309</v>
      </c>
      <c r="AX190" s="105">
        <f t="shared" si="377"/>
        <v>903.2665251676583</v>
      </c>
      <c r="AY190" s="105">
        <f t="shared" si="377"/>
        <v>884.44847255999878</v>
      </c>
    </row>
    <row r="191" spans="1:51" s="84" customFormat="1" ht="12.75" x14ac:dyDescent="0.2">
      <c r="A191" s="84" t="str">
        <f>A172</f>
        <v>VAT - net paid/(net refunded)</v>
      </c>
      <c r="B191" s="84" t="str">
        <f>B172</f>
        <v>$ Real</v>
      </c>
      <c r="C191" s="105">
        <f>SUM(D191:AY191)</f>
        <v>8300.7591479999974</v>
      </c>
      <c r="D191" s="105">
        <f t="shared" ref="D191:AY191" si="378">D172</f>
        <v>-110.00000000000004</v>
      </c>
      <c r="E191" s="105">
        <f t="shared" si="378"/>
        <v>-564.54545454545473</v>
      </c>
      <c r="F191" s="105">
        <f t="shared" si="378"/>
        <v>-928.18181818181847</v>
      </c>
      <c r="G191" s="105">
        <f t="shared" si="378"/>
        <v>-1291.8181818181822</v>
      </c>
      <c r="H191" s="105">
        <f t="shared" si="378"/>
        <v>-655.45454545454572</v>
      </c>
      <c r="I191" s="105">
        <f t="shared" si="378"/>
        <v>-928.18181818181847</v>
      </c>
      <c r="J191" s="105">
        <f t="shared" si="378"/>
        <v>110.63636363636368</v>
      </c>
      <c r="K191" s="105">
        <f t="shared" si="378"/>
        <v>41.790909090909054</v>
      </c>
      <c r="L191" s="105">
        <f t="shared" si="378"/>
        <v>66.060909090909149</v>
      </c>
      <c r="M191" s="105">
        <f t="shared" si="378"/>
        <v>92.757909090909152</v>
      </c>
      <c r="N191" s="105">
        <f t="shared" si="378"/>
        <v>122.12460909090908</v>
      </c>
      <c r="O191" s="105">
        <f t="shared" si="378"/>
        <v>154.42797909090905</v>
      </c>
      <c r="P191" s="105">
        <f t="shared" si="378"/>
        <v>189.96168609090932</v>
      </c>
      <c r="Q191" s="105">
        <f t="shared" si="378"/>
        <v>229.04876379090922</v>
      </c>
      <c r="R191" s="105">
        <f t="shared" si="378"/>
        <v>325.24452609090918</v>
      </c>
      <c r="S191" s="105">
        <f t="shared" si="378"/>
        <v>325.24452609090918</v>
      </c>
      <c r="T191" s="105">
        <f t="shared" si="378"/>
        <v>325.24452609090918</v>
      </c>
      <c r="U191" s="105">
        <f t="shared" si="378"/>
        <v>325.24452609090918</v>
      </c>
      <c r="V191" s="105">
        <f t="shared" si="378"/>
        <v>325.24452609090918</v>
      </c>
      <c r="W191" s="105">
        <f t="shared" si="378"/>
        <v>325.24452609090918</v>
      </c>
      <c r="X191" s="105">
        <f t="shared" si="378"/>
        <v>325.24452609090918</v>
      </c>
      <c r="Y191" s="105">
        <f t="shared" si="378"/>
        <v>325.24452609090918</v>
      </c>
      <c r="Z191" s="105">
        <f t="shared" si="378"/>
        <v>325.24452609090918</v>
      </c>
      <c r="AA191" s="105">
        <f t="shared" si="378"/>
        <v>325.24452609090918</v>
      </c>
      <c r="AB191" s="105">
        <f t="shared" si="378"/>
        <v>325.24452609090918</v>
      </c>
      <c r="AC191" s="105">
        <f t="shared" si="378"/>
        <v>325.24452609090918</v>
      </c>
      <c r="AD191" s="105">
        <f t="shared" si="378"/>
        <v>325.24452609090918</v>
      </c>
      <c r="AE191" s="105">
        <f t="shared" si="378"/>
        <v>325.24452609090918</v>
      </c>
      <c r="AF191" s="105">
        <f t="shared" si="378"/>
        <v>325.24452609090918</v>
      </c>
      <c r="AG191" s="105">
        <f t="shared" si="378"/>
        <v>325.24452609090918</v>
      </c>
      <c r="AH191" s="105">
        <f t="shared" si="378"/>
        <v>325.24452609090918</v>
      </c>
      <c r="AI191" s="105">
        <f t="shared" si="378"/>
        <v>325.24452609090918</v>
      </c>
      <c r="AJ191" s="105">
        <f t="shared" si="378"/>
        <v>325.24452609090918</v>
      </c>
      <c r="AK191" s="105">
        <f t="shared" si="378"/>
        <v>325.24452609090918</v>
      </c>
      <c r="AL191" s="105">
        <f t="shared" si="378"/>
        <v>325.24452609090918</v>
      </c>
      <c r="AM191" s="105">
        <f t="shared" si="378"/>
        <v>325.24452609090918</v>
      </c>
      <c r="AN191" s="105">
        <f t="shared" si="378"/>
        <v>325.24452609090918</v>
      </c>
      <c r="AO191" s="105">
        <f t="shared" si="378"/>
        <v>325.24452609090918</v>
      </c>
      <c r="AP191" s="105">
        <f t="shared" si="378"/>
        <v>325.24452609090918</v>
      </c>
      <c r="AQ191" s="105">
        <f t="shared" si="378"/>
        <v>325.24452609090918</v>
      </c>
      <c r="AR191" s="105">
        <f t="shared" si="378"/>
        <v>325.24452609090918</v>
      </c>
      <c r="AS191" s="105">
        <f t="shared" si="378"/>
        <v>325.24452609090918</v>
      </c>
      <c r="AT191" s="105">
        <f t="shared" si="378"/>
        <v>325.24452609090918</v>
      </c>
      <c r="AU191" s="105">
        <f t="shared" si="378"/>
        <v>325.24452609090918</v>
      </c>
      <c r="AV191" s="105">
        <f t="shared" si="378"/>
        <v>325.24452609090918</v>
      </c>
      <c r="AW191" s="105">
        <f t="shared" si="378"/>
        <v>325.24452609090918</v>
      </c>
      <c r="AX191" s="105">
        <f t="shared" si="378"/>
        <v>416.15361700000017</v>
      </c>
      <c r="AY191" s="105">
        <f t="shared" si="378"/>
        <v>948.15338530000054</v>
      </c>
    </row>
    <row r="192" spans="1:51" s="84" customFormat="1" ht="12.75" x14ac:dyDescent="0.2">
      <c r="A192" s="82" t="s">
        <v>29</v>
      </c>
      <c r="B192" s="84" t="str">
        <f>B184</f>
        <v>$ Real</v>
      </c>
      <c r="C192" s="105">
        <f>SUM(D192:AY192)</f>
        <v>124576.66969031998</v>
      </c>
      <c r="D192" s="106">
        <f>D186-SUM(D188:D191)</f>
        <v>-1100</v>
      </c>
      <c r="E192" s="106">
        <f t="shared" ref="E192:AY192" si="379">E186-SUM(E188:E191)</f>
        <v>-749.62121212121201</v>
      </c>
      <c r="F192" s="106">
        <f t="shared" si="379"/>
        <v>-571.31470959595936</v>
      </c>
      <c r="G192" s="106">
        <f t="shared" si="379"/>
        <v>-472.48050163089169</v>
      </c>
      <c r="H192" s="106">
        <f t="shared" si="379"/>
        <v>-1222.296248756006</v>
      </c>
      <c r="I192" s="106">
        <f t="shared" si="379"/>
        <v>-1123.1575011493464</v>
      </c>
      <c r="J192" s="106">
        <f t="shared" si="379"/>
        <v>282.55221951853673</v>
      </c>
      <c r="K192" s="106">
        <f t="shared" si="379"/>
        <v>590.42707858159793</v>
      </c>
      <c r="L192" s="106">
        <f>L186-SUM(L188:L191)</f>
        <v>829.53295383842033</v>
      </c>
      <c r="M192" s="106">
        <f t="shared" si="379"/>
        <v>1092.9837066940599</v>
      </c>
      <c r="N192" s="106">
        <f t="shared" si="379"/>
        <v>1383.2047771985381</v>
      </c>
      <c r="O192" s="106">
        <f t="shared" si="379"/>
        <v>1702.8643379008408</v>
      </c>
      <c r="P192" s="106">
        <f t="shared" si="379"/>
        <v>2054.8975631718477</v>
      </c>
      <c r="Q192" s="106">
        <f t="shared" si="379"/>
        <v>2442.5333255413716</v>
      </c>
      <c r="R192" s="106">
        <f t="shared" si="379"/>
        <v>3401.3233300490338</v>
      </c>
      <c r="S192" s="106">
        <f t="shared" si="379"/>
        <v>3398.2217036086186</v>
      </c>
      <c r="T192" s="106">
        <f t="shared" si="379"/>
        <v>3395.1846943857126</v>
      </c>
      <c r="U192" s="106">
        <f t="shared" si="379"/>
        <v>3392.2109561882826</v>
      </c>
      <c r="V192" s="106">
        <f t="shared" si="379"/>
        <v>3389.2991708699665</v>
      </c>
      <c r="W192" s="106">
        <f t="shared" si="379"/>
        <v>3386.4480477457819</v>
      </c>
      <c r="X192" s="106">
        <f t="shared" si="379"/>
        <v>3383.6563230200172</v>
      </c>
      <c r="Y192" s="106">
        <f t="shared" si="379"/>
        <v>3380.9227592260395</v>
      </c>
      <c r="Z192" s="106">
        <f t="shared" si="379"/>
        <v>3378.2461446777688</v>
      </c>
      <c r="AA192" s="106">
        <f t="shared" si="379"/>
        <v>3375.6252929325892</v>
      </c>
      <c r="AB192" s="106">
        <f t="shared" si="379"/>
        <v>3373.0590422654332</v>
      </c>
      <c r="AC192" s="106">
        <f t="shared" si="379"/>
        <v>3370.5462551538421</v>
      </c>
      <c r="AD192" s="106">
        <f t="shared" si="379"/>
        <v>3368.0858177737427</v>
      </c>
      <c r="AE192" s="106">
        <f t="shared" si="379"/>
        <v>3365.6766395057293</v>
      </c>
      <c r="AF192" s="106">
        <f t="shared" si="379"/>
        <v>3363.317652451633</v>
      </c>
      <c r="AG192" s="106">
        <f t="shared" si="379"/>
        <v>3361.0078109611641</v>
      </c>
      <c r="AH192" s="106">
        <f t="shared" si="379"/>
        <v>3358.746091168412</v>
      </c>
      <c r="AI192" s="106">
        <f t="shared" si="379"/>
        <v>3356.5314905380092</v>
      </c>
      <c r="AJ192" s="106">
        <f t="shared" si="379"/>
        <v>3354.3630274207408</v>
      </c>
      <c r="AK192" s="106">
        <f t="shared" si="379"/>
        <v>3352.2397406184136</v>
      </c>
      <c r="AL192" s="106">
        <f t="shared" si="379"/>
        <v>3350.1606889578034</v>
      </c>
      <c r="AM192" s="106">
        <f t="shared" si="379"/>
        <v>3348.1249508734545</v>
      </c>
      <c r="AN192" s="106">
        <f t="shared" si="379"/>
        <v>3346.1316239991975</v>
      </c>
      <c r="AO192" s="106">
        <f t="shared" si="379"/>
        <v>3344.1798247681527</v>
      </c>
      <c r="AP192" s="106">
        <f t="shared" si="379"/>
        <v>3342.2686880210895</v>
      </c>
      <c r="AQ192" s="106">
        <f t="shared" si="379"/>
        <v>3340.3973666229231</v>
      </c>
      <c r="AR192" s="106">
        <f t="shared" si="379"/>
        <v>3338.5650310872188</v>
      </c>
      <c r="AS192" s="106">
        <f t="shared" si="379"/>
        <v>3336.7708692085071</v>
      </c>
      <c r="AT192" s="106">
        <f t="shared" si="379"/>
        <v>3335.0140857022689</v>
      </c>
      <c r="AU192" s="106">
        <f t="shared" si="379"/>
        <v>3333.2939018524121</v>
      </c>
      <c r="AV192" s="106">
        <f t="shared" si="379"/>
        <v>3331.6095551660928</v>
      </c>
      <c r="AW192" s="106">
        <f t="shared" si="379"/>
        <v>3329.960299035738</v>
      </c>
      <c r="AX192" s="106">
        <f t="shared" si="379"/>
        <v>3258.2696448323422</v>
      </c>
      <c r="AY192" s="106">
        <f t="shared" si="379"/>
        <v>8597.0853804400031</v>
      </c>
    </row>
    <row r="193" spans="1:51" s="13" customFormat="1" ht="12.75" x14ac:dyDescent="0.2">
      <c r="A193" s="260" t="s">
        <v>42</v>
      </c>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row>
    <row r="194" spans="1:51" s="84" customFormat="1" ht="12.75" x14ac:dyDescent="0.2">
      <c r="A194" s="59" t="s">
        <v>185</v>
      </c>
      <c r="C194" s="105"/>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row>
    <row r="195" spans="1:51" s="84" customFormat="1" ht="12.75" x14ac:dyDescent="0.2">
      <c r="A195" s="84" t="s">
        <v>34</v>
      </c>
      <c r="B195" s="84" t="s">
        <v>52</v>
      </c>
      <c r="C195" s="105"/>
      <c r="D195" s="92">
        <v>0</v>
      </c>
      <c r="E195" s="94">
        <f t="shared" ref="E195:V195" si="380">D200</f>
        <v>-1100</v>
      </c>
      <c r="F195" s="94">
        <f t="shared" si="380"/>
        <v>-1849.621212121212</v>
      </c>
      <c r="G195" s="94">
        <f t="shared" si="380"/>
        <v>-2420.9359217171714</v>
      </c>
      <c r="H195" s="94">
        <f t="shared" si="380"/>
        <v>-2893.4164233480633</v>
      </c>
      <c r="I195" s="94">
        <f t="shared" si="380"/>
        <v>-4115.7126721040695</v>
      </c>
      <c r="J195" s="94">
        <f t="shared" si="380"/>
        <v>-5238.8701732534155</v>
      </c>
      <c r="K195" s="94">
        <f t="shared" si="380"/>
        <v>-4956.3179537348788</v>
      </c>
      <c r="L195" s="94">
        <f t="shared" si="380"/>
        <v>-4365.8908751532808</v>
      </c>
      <c r="M195" s="94">
        <f t="shared" si="380"/>
        <v>-3536.3579213148605</v>
      </c>
      <c r="N195" s="94">
        <f t="shared" si="380"/>
        <v>-2443.3742146208006</v>
      </c>
      <c r="O195" s="94">
        <f t="shared" si="380"/>
        <v>-1060.1694374222625</v>
      </c>
      <c r="P195" s="94">
        <f t="shared" si="380"/>
        <v>0</v>
      </c>
      <c r="Q195" s="94">
        <f t="shared" si="380"/>
        <v>0</v>
      </c>
      <c r="R195" s="94">
        <f t="shared" si="380"/>
        <v>0</v>
      </c>
      <c r="S195" s="94">
        <f t="shared" si="380"/>
        <v>0</v>
      </c>
      <c r="T195" s="94">
        <f t="shared" si="380"/>
        <v>0</v>
      </c>
      <c r="U195" s="94">
        <f t="shared" si="380"/>
        <v>0</v>
      </c>
      <c r="V195" s="94">
        <f t="shared" si="380"/>
        <v>0</v>
      </c>
      <c r="W195" s="94">
        <f t="shared" ref="W195" si="381">V200</f>
        <v>0</v>
      </c>
      <c r="X195" s="94">
        <f t="shared" ref="X195" si="382">W200</f>
        <v>0</v>
      </c>
      <c r="Y195" s="94">
        <f t="shared" ref="Y195" si="383">X200</f>
        <v>0</v>
      </c>
      <c r="Z195" s="94">
        <f t="shared" ref="Z195" si="384">Y200</f>
        <v>0</v>
      </c>
      <c r="AA195" s="94">
        <f t="shared" ref="AA195" si="385">Z200</f>
        <v>0</v>
      </c>
      <c r="AB195" s="94">
        <f t="shared" ref="AB195" si="386">AA200</f>
        <v>0</v>
      </c>
      <c r="AC195" s="94">
        <f t="shared" ref="AC195" si="387">AB200</f>
        <v>0</v>
      </c>
      <c r="AD195" s="94">
        <f t="shared" ref="AD195" si="388">AC200</f>
        <v>0</v>
      </c>
      <c r="AE195" s="94">
        <f t="shared" ref="AE195" si="389">AD200</f>
        <v>0</v>
      </c>
      <c r="AF195" s="94">
        <f t="shared" ref="AF195" si="390">AE200</f>
        <v>0</v>
      </c>
      <c r="AG195" s="94">
        <f t="shared" ref="AG195" si="391">AF200</f>
        <v>0</v>
      </c>
      <c r="AH195" s="94">
        <f t="shared" ref="AH195" si="392">AG200</f>
        <v>0</v>
      </c>
      <c r="AI195" s="94">
        <f t="shared" ref="AI195" si="393">AH200</f>
        <v>0</v>
      </c>
      <c r="AJ195" s="94">
        <f t="shared" ref="AJ195" si="394">AI200</f>
        <v>0</v>
      </c>
      <c r="AK195" s="94">
        <f t="shared" ref="AK195" si="395">AJ200</f>
        <v>0</v>
      </c>
      <c r="AL195" s="94">
        <f t="shared" ref="AL195" si="396">AK200</f>
        <v>0</v>
      </c>
      <c r="AM195" s="94">
        <f t="shared" ref="AM195" si="397">AL200</f>
        <v>0</v>
      </c>
      <c r="AN195" s="94">
        <f t="shared" ref="AN195" si="398">AM200</f>
        <v>0</v>
      </c>
      <c r="AO195" s="94">
        <f t="shared" ref="AO195" si="399">AN200</f>
        <v>0</v>
      </c>
      <c r="AP195" s="94">
        <f t="shared" ref="AP195" si="400">AO200</f>
        <v>0</v>
      </c>
      <c r="AQ195" s="94">
        <f t="shared" ref="AQ195" si="401">AP200</f>
        <v>0</v>
      </c>
      <c r="AR195" s="94">
        <f t="shared" ref="AR195" si="402">AQ200</f>
        <v>0</v>
      </c>
      <c r="AS195" s="94">
        <f t="shared" ref="AS195" si="403">AR200</f>
        <v>0</v>
      </c>
      <c r="AT195" s="94">
        <f t="shared" ref="AT195" si="404">AS200</f>
        <v>0</v>
      </c>
      <c r="AU195" s="94">
        <f t="shared" ref="AU195" si="405">AT200</f>
        <v>0</v>
      </c>
      <c r="AV195" s="94">
        <f t="shared" ref="AV195" si="406">AU200</f>
        <v>0</v>
      </c>
      <c r="AW195" s="94">
        <f t="shared" ref="AW195" si="407">AV200</f>
        <v>0</v>
      </c>
      <c r="AX195" s="94">
        <f t="shared" ref="AX195" si="408">AW200</f>
        <v>0</v>
      </c>
      <c r="AY195" s="94">
        <f t="shared" ref="AY195" si="409">AX200</f>
        <v>0</v>
      </c>
    </row>
    <row r="196" spans="1:51" s="84" customFormat="1" ht="12.75" x14ac:dyDescent="0.2">
      <c r="A196" s="84" t="str">
        <f>A192</f>
        <v>Assessable Income</v>
      </c>
      <c r="B196" s="84" t="str">
        <f>B192</f>
        <v>$ Real</v>
      </c>
      <c r="C196" s="105"/>
      <c r="D196" s="94">
        <f t="shared" ref="D196:V196" si="410">D192</f>
        <v>-1100</v>
      </c>
      <c r="E196" s="94">
        <f t="shared" si="410"/>
        <v>-749.62121212121201</v>
      </c>
      <c r="F196" s="94">
        <f t="shared" si="410"/>
        <v>-571.31470959595936</v>
      </c>
      <c r="G196" s="94">
        <f t="shared" si="410"/>
        <v>-472.48050163089169</v>
      </c>
      <c r="H196" s="94">
        <f t="shared" si="410"/>
        <v>-1222.296248756006</v>
      </c>
      <c r="I196" s="94">
        <f t="shared" si="410"/>
        <v>-1123.1575011493464</v>
      </c>
      <c r="J196" s="94">
        <f t="shared" si="410"/>
        <v>282.55221951853673</v>
      </c>
      <c r="K196" s="94">
        <f t="shared" si="410"/>
        <v>590.42707858159793</v>
      </c>
      <c r="L196" s="94">
        <f t="shared" si="410"/>
        <v>829.53295383842033</v>
      </c>
      <c r="M196" s="94">
        <f t="shared" si="410"/>
        <v>1092.9837066940599</v>
      </c>
      <c r="N196" s="94">
        <f t="shared" si="410"/>
        <v>1383.2047771985381</v>
      </c>
      <c r="O196" s="94">
        <f t="shared" si="410"/>
        <v>1702.8643379008408</v>
      </c>
      <c r="P196" s="94">
        <f t="shared" si="410"/>
        <v>2054.8975631718477</v>
      </c>
      <c r="Q196" s="94">
        <f t="shared" si="410"/>
        <v>2442.5333255413716</v>
      </c>
      <c r="R196" s="94">
        <f t="shared" si="410"/>
        <v>3401.3233300490338</v>
      </c>
      <c r="S196" s="94">
        <f t="shared" si="410"/>
        <v>3398.2217036086186</v>
      </c>
      <c r="T196" s="94">
        <f t="shared" si="410"/>
        <v>3395.1846943857126</v>
      </c>
      <c r="U196" s="94">
        <f t="shared" si="410"/>
        <v>3392.2109561882826</v>
      </c>
      <c r="V196" s="94">
        <f t="shared" si="410"/>
        <v>3389.2991708699665</v>
      </c>
      <c r="W196" s="94">
        <f t="shared" ref="W196:AJ196" si="411">W192</f>
        <v>3386.4480477457819</v>
      </c>
      <c r="X196" s="94">
        <f t="shared" si="411"/>
        <v>3383.6563230200172</v>
      </c>
      <c r="Y196" s="94">
        <f t="shared" si="411"/>
        <v>3380.9227592260395</v>
      </c>
      <c r="Z196" s="94">
        <f t="shared" si="411"/>
        <v>3378.2461446777688</v>
      </c>
      <c r="AA196" s="94">
        <f t="shared" si="411"/>
        <v>3375.6252929325892</v>
      </c>
      <c r="AB196" s="94">
        <f t="shared" si="411"/>
        <v>3373.0590422654332</v>
      </c>
      <c r="AC196" s="94">
        <f t="shared" si="411"/>
        <v>3370.5462551538421</v>
      </c>
      <c r="AD196" s="94">
        <f t="shared" si="411"/>
        <v>3368.0858177737427</v>
      </c>
      <c r="AE196" s="94">
        <f t="shared" si="411"/>
        <v>3365.6766395057293</v>
      </c>
      <c r="AF196" s="94">
        <f t="shared" si="411"/>
        <v>3363.317652451633</v>
      </c>
      <c r="AG196" s="94">
        <f t="shared" si="411"/>
        <v>3361.0078109611641</v>
      </c>
      <c r="AH196" s="94">
        <f t="shared" si="411"/>
        <v>3358.746091168412</v>
      </c>
      <c r="AI196" s="94">
        <f t="shared" si="411"/>
        <v>3356.5314905380092</v>
      </c>
      <c r="AJ196" s="94">
        <f t="shared" si="411"/>
        <v>3354.3630274207408</v>
      </c>
      <c r="AK196" s="94">
        <f t="shared" ref="AK196:AY196" si="412">AK192</f>
        <v>3352.2397406184136</v>
      </c>
      <c r="AL196" s="94">
        <f t="shared" si="412"/>
        <v>3350.1606889578034</v>
      </c>
      <c r="AM196" s="94">
        <f t="shared" si="412"/>
        <v>3348.1249508734545</v>
      </c>
      <c r="AN196" s="94">
        <f t="shared" si="412"/>
        <v>3346.1316239991975</v>
      </c>
      <c r="AO196" s="94">
        <f t="shared" si="412"/>
        <v>3344.1798247681527</v>
      </c>
      <c r="AP196" s="94">
        <f t="shared" si="412"/>
        <v>3342.2686880210895</v>
      </c>
      <c r="AQ196" s="94">
        <f t="shared" si="412"/>
        <v>3340.3973666229231</v>
      </c>
      <c r="AR196" s="94">
        <f t="shared" si="412"/>
        <v>3338.5650310872188</v>
      </c>
      <c r="AS196" s="94">
        <f t="shared" si="412"/>
        <v>3336.7708692085071</v>
      </c>
      <c r="AT196" s="94">
        <f t="shared" si="412"/>
        <v>3335.0140857022689</v>
      </c>
      <c r="AU196" s="94">
        <f t="shared" si="412"/>
        <v>3333.2939018524121</v>
      </c>
      <c r="AV196" s="94">
        <f t="shared" si="412"/>
        <v>3331.6095551660928</v>
      </c>
      <c r="AW196" s="94">
        <f t="shared" si="412"/>
        <v>3329.960299035738</v>
      </c>
      <c r="AX196" s="94">
        <f t="shared" si="412"/>
        <v>3258.2696448323422</v>
      </c>
      <c r="AY196" s="94">
        <f t="shared" si="412"/>
        <v>8597.0853804400031</v>
      </c>
    </row>
    <row r="197" spans="1:51" s="84" customFormat="1" ht="12.75" x14ac:dyDescent="0.2">
      <c r="A197" s="84" t="s">
        <v>43</v>
      </c>
      <c r="B197" s="84" t="s">
        <v>52</v>
      </c>
      <c r="C197" s="105"/>
      <c r="D197" s="106">
        <f t="shared" ref="D197:V197" si="413">D195+D196</f>
        <v>-1100</v>
      </c>
      <c r="E197" s="106">
        <f t="shared" si="413"/>
        <v>-1849.621212121212</v>
      </c>
      <c r="F197" s="106">
        <f t="shared" si="413"/>
        <v>-2420.9359217171714</v>
      </c>
      <c r="G197" s="106">
        <f t="shared" si="413"/>
        <v>-2893.4164233480633</v>
      </c>
      <c r="H197" s="106">
        <f t="shared" si="413"/>
        <v>-4115.7126721040695</v>
      </c>
      <c r="I197" s="106">
        <f t="shared" si="413"/>
        <v>-5238.8701732534155</v>
      </c>
      <c r="J197" s="106">
        <f t="shared" si="413"/>
        <v>-4956.3179537348788</v>
      </c>
      <c r="K197" s="106">
        <f t="shared" si="413"/>
        <v>-4365.8908751532808</v>
      </c>
      <c r="L197" s="106">
        <f t="shared" si="413"/>
        <v>-3536.3579213148605</v>
      </c>
      <c r="M197" s="106">
        <f t="shared" si="413"/>
        <v>-2443.3742146208006</v>
      </c>
      <c r="N197" s="106">
        <f t="shared" si="413"/>
        <v>-1060.1694374222625</v>
      </c>
      <c r="O197" s="106">
        <f t="shared" si="413"/>
        <v>642.69490047857835</v>
      </c>
      <c r="P197" s="106">
        <f t="shared" si="413"/>
        <v>2054.8975631718477</v>
      </c>
      <c r="Q197" s="106">
        <f t="shared" si="413"/>
        <v>2442.5333255413716</v>
      </c>
      <c r="R197" s="106">
        <f t="shared" si="413"/>
        <v>3401.3233300490338</v>
      </c>
      <c r="S197" s="106">
        <f t="shared" si="413"/>
        <v>3398.2217036086186</v>
      </c>
      <c r="T197" s="106">
        <f t="shared" si="413"/>
        <v>3395.1846943857126</v>
      </c>
      <c r="U197" s="106">
        <f t="shared" si="413"/>
        <v>3392.2109561882826</v>
      </c>
      <c r="V197" s="106">
        <f t="shared" si="413"/>
        <v>3389.2991708699665</v>
      </c>
      <c r="W197" s="106">
        <f t="shared" ref="W197" si="414">W195+W196</f>
        <v>3386.4480477457819</v>
      </c>
      <c r="X197" s="106">
        <f t="shared" ref="X197" si="415">X195+X196</f>
        <v>3383.6563230200172</v>
      </c>
      <c r="Y197" s="106">
        <f t="shared" ref="Y197" si="416">Y195+Y196</f>
        <v>3380.9227592260395</v>
      </c>
      <c r="Z197" s="106">
        <f t="shared" ref="Z197" si="417">Z195+Z196</f>
        <v>3378.2461446777688</v>
      </c>
      <c r="AA197" s="106">
        <f t="shared" ref="AA197" si="418">AA195+AA196</f>
        <v>3375.6252929325892</v>
      </c>
      <c r="AB197" s="106">
        <f t="shared" ref="AB197" si="419">AB195+AB196</f>
        <v>3373.0590422654332</v>
      </c>
      <c r="AC197" s="106">
        <f t="shared" ref="AC197" si="420">AC195+AC196</f>
        <v>3370.5462551538421</v>
      </c>
      <c r="AD197" s="106">
        <f t="shared" ref="AD197" si="421">AD195+AD196</f>
        <v>3368.0858177737427</v>
      </c>
      <c r="AE197" s="106">
        <f t="shared" ref="AE197" si="422">AE195+AE196</f>
        <v>3365.6766395057293</v>
      </c>
      <c r="AF197" s="106">
        <f t="shared" ref="AF197" si="423">AF195+AF196</f>
        <v>3363.317652451633</v>
      </c>
      <c r="AG197" s="106">
        <f t="shared" ref="AG197" si="424">AG195+AG196</f>
        <v>3361.0078109611641</v>
      </c>
      <c r="AH197" s="106">
        <f t="shared" ref="AH197" si="425">AH195+AH196</f>
        <v>3358.746091168412</v>
      </c>
      <c r="AI197" s="106">
        <f t="shared" ref="AI197" si="426">AI195+AI196</f>
        <v>3356.5314905380092</v>
      </c>
      <c r="AJ197" s="106">
        <f t="shared" ref="AJ197:AY197" si="427">AJ195+AJ196</f>
        <v>3354.3630274207408</v>
      </c>
      <c r="AK197" s="106">
        <f t="shared" si="427"/>
        <v>3352.2397406184136</v>
      </c>
      <c r="AL197" s="106">
        <f t="shared" si="427"/>
        <v>3350.1606889578034</v>
      </c>
      <c r="AM197" s="106">
        <f t="shared" si="427"/>
        <v>3348.1249508734545</v>
      </c>
      <c r="AN197" s="106">
        <f t="shared" si="427"/>
        <v>3346.1316239991975</v>
      </c>
      <c r="AO197" s="106">
        <f t="shared" si="427"/>
        <v>3344.1798247681527</v>
      </c>
      <c r="AP197" s="106">
        <f t="shared" si="427"/>
        <v>3342.2686880210895</v>
      </c>
      <c r="AQ197" s="106">
        <f t="shared" si="427"/>
        <v>3340.3973666229231</v>
      </c>
      <c r="AR197" s="106">
        <f t="shared" si="427"/>
        <v>3338.5650310872188</v>
      </c>
      <c r="AS197" s="106">
        <f t="shared" si="427"/>
        <v>3336.7708692085071</v>
      </c>
      <c r="AT197" s="106">
        <f t="shared" si="427"/>
        <v>3335.0140857022689</v>
      </c>
      <c r="AU197" s="106">
        <f t="shared" si="427"/>
        <v>3333.2939018524121</v>
      </c>
      <c r="AV197" s="106">
        <f t="shared" si="427"/>
        <v>3331.6095551660928</v>
      </c>
      <c r="AW197" s="106">
        <f t="shared" si="427"/>
        <v>3329.960299035738</v>
      </c>
      <c r="AX197" s="106">
        <f t="shared" si="427"/>
        <v>3258.2696448323422</v>
      </c>
      <c r="AY197" s="106">
        <f t="shared" si="427"/>
        <v>8597.0853804400031</v>
      </c>
    </row>
    <row r="198" spans="1:51" s="13" customFormat="1" ht="12.75" x14ac:dyDescent="0.2">
      <c r="A198" s="107" t="s">
        <v>14</v>
      </c>
      <c r="B198" s="107" t="s">
        <v>15</v>
      </c>
      <c r="C198" s="74"/>
      <c r="D198" s="108">
        <v>0.25</v>
      </c>
      <c r="E198" s="108">
        <f t="shared" ref="E198:V198" si="428">D198</f>
        <v>0.25</v>
      </c>
      <c r="F198" s="108">
        <f t="shared" si="428"/>
        <v>0.25</v>
      </c>
      <c r="G198" s="108">
        <f t="shared" si="428"/>
        <v>0.25</v>
      </c>
      <c r="H198" s="108">
        <f t="shared" si="428"/>
        <v>0.25</v>
      </c>
      <c r="I198" s="108">
        <f t="shared" si="428"/>
        <v>0.25</v>
      </c>
      <c r="J198" s="108">
        <f t="shared" si="428"/>
        <v>0.25</v>
      </c>
      <c r="K198" s="108">
        <f t="shared" si="428"/>
        <v>0.25</v>
      </c>
      <c r="L198" s="108">
        <f t="shared" si="428"/>
        <v>0.25</v>
      </c>
      <c r="M198" s="108">
        <f t="shared" si="428"/>
        <v>0.25</v>
      </c>
      <c r="N198" s="108">
        <f t="shared" si="428"/>
        <v>0.25</v>
      </c>
      <c r="O198" s="108">
        <f t="shared" si="428"/>
        <v>0.25</v>
      </c>
      <c r="P198" s="108">
        <f t="shared" si="428"/>
        <v>0.25</v>
      </c>
      <c r="Q198" s="108">
        <f t="shared" si="428"/>
        <v>0.25</v>
      </c>
      <c r="R198" s="108">
        <f t="shared" si="428"/>
        <v>0.25</v>
      </c>
      <c r="S198" s="108">
        <f t="shared" si="428"/>
        <v>0.25</v>
      </c>
      <c r="T198" s="108">
        <f t="shared" si="428"/>
        <v>0.25</v>
      </c>
      <c r="U198" s="108">
        <f t="shared" si="428"/>
        <v>0.25</v>
      </c>
      <c r="V198" s="108">
        <f t="shared" si="428"/>
        <v>0.25</v>
      </c>
      <c r="W198" s="108">
        <f t="shared" ref="W198" si="429">V198</f>
        <v>0.25</v>
      </c>
      <c r="X198" s="108">
        <f t="shared" ref="X198" si="430">W198</f>
        <v>0.25</v>
      </c>
      <c r="Y198" s="108">
        <f t="shared" ref="Y198" si="431">X198</f>
        <v>0.25</v>
      </c>
      <c r="Z198" s="108">
        <f t="shared" ref="Z198" si="432">Y198</f>
        <v>0.25</v>
      </c>
      <c r="AA198" s="108">
        <f t="shared" ref="AA198" si="433">Z198</f>
        <v>0.25</v>
      </c>
      <c r="AB198" s="108">
        <f t="shared" ref="AB198" si="434">AA198</f>
        <v>0.25</v>
      </c>
      <c r="AC198" s="108">
        <f t="shared" ref="AC198" si="435">AB198</f>
        <v>0.25</v>
      </c>
      <c r="AD198" s="108">
        <f t="shared" ref="AD198" si="436">AC198</f>
        <v>0.25</v>
      </c>
      <c r="AE198" s="108">
        <f t="shared" ref="AE198" si="437">AD198</f>
        <v>0.25</v>
      </c>
      <c r="AF198" s="108">
        <f t="shared" ref="AF198" si="438">AE198</f>
        <v>0.25</v>
      </c>
      <c r="AG198" s="108">
        <f t="shared" ref="AG198" si="439">AF198</f>
        <v>0.25</v>
      </c>
      <c r="AH198" s="108">
        <f t="shared" ref="AH198" si="440">AG198</f>
        <v>0.25</v>
      </c>
      <c r="AI198" s="108">
        <f t="shared" ref="AI198" si="441">AH198</f>
        <v>0.25</v>
      </c>
      <c r="AJ198" s="108">
        <f t="shared" ref="AJ198" si="442">AI198</f>
        <v>0.25</v>
      </c>
      <c r="AK198" s="108">
        <f t="shared" ref="AK198" si="443">AJ198</f>
        <v>0.25</v>
      </c>
      <c r="AL198" s="108">
        <f t="shared" ref="AL198" si="444">AK198</f>
        <v>0.25</v>
      </c>
      <c r="AM198" s="108">
        <f t="shared" ref="AM198" si="445">AL198</f>
        <v>0.25</v>
      </c>
      <c r="AN198" s="108">
        <f t="shared" ref="AN198" si="446">AM198</f>
        <v>0.25</v>
      </c>
      <c r="AO198" s="108">
        <f t="shared" ref="AO198" si="447">AN198</f>
        <v>0.25</v>
      </c>
      <c r="AP198" s="108">
        <f t="shared" ref="AP198" si="448">AO198</f>
        <v>0.25</v>
      </c>
      <c r="AQ198" s="108">
        <f t="shared" ref="AQ198" si="449">AP198</f>
        <v>0.25</v>
      </c>
      <c r="AR198" s="108">
        <f t="shared" ref="AR198" si="450">AQ198</f>
        <v>0.25</v>
      </c>
      <c r="AS198" s="108">
        <f t="shared" ref="AS198" si="451">AR198</f>
        <v>0.25</v>
      </c>
      <c r="AT198" s="108">
        <f t="shared" ref="AT198" si="452">AS198</f>
        <v>0.25</v>
      </c>
      <c r="AU198" s="108">
        <f t="shared" ref="AU198" si="453">AT198</f>
        <v>0.25</v>
      </c>
      <c r="AV198" s="108">
        <f t="shared" ref="AV198" si="454">AU198</f>
        <v>0.25</v>
      </c>
      <c r="AW198" s="108">
        <f t="shared" ref="AW198" si="455">AV198</f>
        <v>0.25</v>
      </c>
      <c r="AX198" s="108">
        <f t="shared" ref="AX198" si="456">AW198</f>
        <v>0.25</v>
      </c>
      <c r="AY198" s="108">
        <f t="shared" ref="AY198" si="457">AX198</f>
        <v>0.25</v>
      </c>
    </row>
    <row r="199" spans="1:51" s="82" customFormat="1" ht="12.75" x14ac:dyDescent="0.2">
      <c r="A199" s="82" t="s">
        <v>35</v>
      </c>
      <c r="B199" s="84" t="s">
        <v>52</v>
      </c>
      <c r="C199" s="87">
        <f>SUM(D199:AY199)</f>
        <v>31144.167422579994</v>
      </c>
      <c r="D199" s="87">
        <f t="shared" ref="D199:V199" si="458">IF(D197&lt;0,0,D197*D198)</f>
        <v>0</v>
      </c>
      <c r="E199" s="87">
        <f t="shared" si="458"/>
        <v>0</v>
      </c>
      <c r="F199" s="87">
        <f t="shared" si="458"/>
        <v>0</v>
      </c>
      <c r="G199" s="87">
        <f t="shared" si="458"/>
        <v>0</v>
      </c>
      <c r="H199" s="87">
        <f t="shared" si="458"/>
        <v>0</v>
      </c>
      <c r="I199" s="87">
        <f t="shared" si="458"/>
        <v>0</v>
      </c>
      <c r="J199" s="87">
        <f t="shared" si="458"/>
        <v>0</v>
      </c>
      <c r="K199" s="87">
        <f t="shared" si="458"/>
        <v>0</v>
      </c>
      <c r="L199" s="87">
        <f t="shared" si="458"/>
        <v>0</v>
      </c>
      <c r="M199" s="87">
        <f t="shared" si="458"/>
        <v>0</v>
      </c>
      <c r="N199" s="87">
        <f t="shared" si="458"/>
        <v>0</v>
      </c>
      <c r="O199" s="87">
        <f t="shared" si="458"/>
        <v>160.67372511964459</v>
      </c>
      <c r="P199" s="87">
        <f t="shared" si="458"/>
        <v>513.72439079296191</v>
      </c>
      <c r="Q199" s="87">
        <f t="shared" si="458"/>
        <v>610.6333313853429</v>
      </c>
      <c r="R199" s="87">
        <f t="shared" si="458"/>
        <v>850.33083251225844</v>
      </c>
      <c r="S199" s="87">
        <f t="shared" si="458"/>
        <v>849.55542590215464</v>
      </c>
      <c r="T199" s="87">
        <f t="shared" si="458"/>
        <v>848.79617359642816</v>
      </c>
      <c r="U199" s="87">
        <f t="shared" si="458"/>
        <v>848.05273904707065</v>
      </c>
      <c r="V199" s="87">
        <f t="shared" si="458"/>
        <v>847.32479271749162</v>
      </c>
      <c r="W199" s="87">
        <f t="shared" ref="W199" si="459">IF(W197&lt;0,0,W197*W198)</f>
        <v>846.61201193644547</v>
      </c>
      <c r="X199" s="87">
        <f t="shared" ref="X199" si="460">IF(X197&lt;0,0,X197*X198)</f>
        <v>845.91408075500431</v>
      </c>
      <c r="Y199" s="87">
        <f t="shared" ref="Y199" si="461">IF(Y197&lt;0,0,Y197*Y198)</f>
        <v>845.23068980650987</v>
      </c>
      <c r="Z199" s="87">
        <f t="shared" ref="Z199" si="462">IF(Z197&lt;0,0,Z197*Z198)</f>
        <v>844.56153616944221</v>
      </c>
      <c r="AA199" s="87">
        <f t="shared" ref="AA199" si="463">IF(AA197&lt;0,0,AA197*AA198)</f>
        <v>843.9063232331473</v>
      </c>
      <c r="AB199" s="87">
        <f t="shared" ref="AB199" si="464">IF(AB197&lt;0,0,AB197*AB198)</f>
        <v>843.26476056635829</v>
      </c>
      <c r="AC199" s="87">
        <f t="shared" ref="AC199" si="465">IF(AC197&lt;0,0,AC197*AC198)</f>
        <v>842.63656378846053</v>
      </c>
      <c r="AD199" s="87">
        <f t="shared" ref="AD199" si="466">IF(AD197&lt;0,0,AD197*AD198)</f>
        <v>842.02145444343569</v>
      </c>
      <c r="AE199" s="87">
        <f t="shared" ref="AE199" si="467">IF(AE197&lt;0,0,AE197*AE198)</f>
        <v>841.41915987643233</v>
      </c>
      <c r="AF199" s="87">
        <f t="shared" ref="AF199" si="468">IF(AF197&lt;0,0,AF197*AF198)</f>
        <v>840.82941311290824</v>
      </c>
      <c r="AG199" s="87">
        <f t="shared" ref="AG199" si="469">IF(AG197&lt;0,0,AG197*AG198)</f>
        <v>840.25195274029102</v>
      </c>
      <c r="AH199" s="87">
        <f t="shared" ref="AH199" si="470">IF(AH197&lt;0,0,AH197*AH198)</f>
        <v>839.68652279210301</v>
      </c>
      <c r="AI199" s="87">
        <f t="shared" ref="AI199" si="471">IF(AI197&lt;0,0,AI197*AI198)</f>
        <v>839.13287263450229</v>
      </c>
      <c r="AJ199" s="87">
        <f t="shared" ref="AJ199:AY199" si="472">IF(AJ197&lt;0,0,AJ197*AJ198)</f>
        <v>838.59075685518519</v>
      </c>
      <c r="AK199" s="87">
        <f t="shared" si="472"/>
        <v>838.05993515460341</v>
      </c>
      <c r="AL199" s="87">
        <f t="shared" si="472"/>
        <v>837.54017223945084</v>
      </c>
      <c r="AM199" s="87">
        <f t="shared" si="472"/>
        <v>837.03123771836363</v>
      </c>
      <c r="AN199" s="87">
        <f t="shared" si="472"/>
        <v>836.53290599979937</v>
      </c>
      <c r="AO199" s="87">
        <f t="shared" si="472"/>
        <v>836.04495619203817</v>
      </c>
      <c r="AP199" s="87">
        <f t="shared" si="472"/>
        <v>835.56717200527237</v>
      </c>
      <c r="AQ199" s="87">
        <f t="shared" si="472"/>
        <v>835.09934165573077</v>
      </c>
      <c r="AR199" s="87">
        <f t="shared" si="472"/>
        <v>834.6412577718047</v>
      </c>
      <c r="AS199" s="87">
        <f t="shared" si="472"/>
        <v>834.19271730212677</v>
      </c>
      <c r="AT199" s="87">
        <f t="shared" si="472"/>
        <v>833.75352142556721</v>
      </c>
      <c r="AU199" s="87">
        <f t="shared" si="472"/>
        <v>833.32347546310302</v>
      </c>
      <c r="AV199" s="87">
        <f t="shared" si="472"/>
        <v>832.90238879152321</v>
      </c>
      <c r="AW199" s="87">
        <f t="shared" si="472"/>
        <v>832.4900747589345</v>
      </c>
      <c r="AX199" s="87">
        <f t="shared" si="472"/>
        <v>814.56741120808556</v>
      </c>
      <c r="AY199" s="87">
        <f t="shared" si="472"/>
        <v>2149.2713451100008</v>
      </c>
    </row>
    <row r="200" spans="1:51" s="84" customFormat="1" ht="12.75" x14ac:dyDescent="0.2">
      <c r="A200" s="84" t="s">
        <v>36</v>
      </c>
      <c r="C200" s="105"/>
      <c r="D200" s="94">
        <f t="shared" ref="D200:V200" si="473">IF(D197&gt;0,0,D197)</f>
        <v>-1100</v>
      </c>
      <c r="E200" s="94">
        <f t="shared" si="473"/>
        <v>-1849.621212121212</v>
      </c>
      <c r="F200" s="94">
        <f t="shared" si="473"/>
        <v>-2420.9359217171714</v>
      </c>
      <c r="G200" s="94">
        <f t="shared" si="473"/>
        <v>-2893.4164233480633</v>
      </c>
      <c r="H200" s="94">
        <f t="shared" si="473"/>
        <v>-4115.7126721040695</v>
      </c>
      <c r="I200" s="94">
        <f t="shared" si="473"/>
        <v>-5238.8701732534155</v>
      </c>
      <c r="J200" s="94">
        <f t="shared" si="473"/>
        <v>-4956.3179537348788</v>
      </c>
      <c r="K200" s="94">
        <f t="shared" si="473"/>
        <v>-4365.8908751532808</v>
      </c>
      <c r="L200" s="94">
        <f t="shared" si="473"/>
        <v>-3536.3579213148605</v>
      </c>
      <c r="M200" s="94">
        <f t="shared" si="473"/>
        <v>-2443.3742146208006</v>
      </c>
      <c r="N200" s="94">
        <f t="shared" si="473"/>
        <v>-1060.1694374222625</v>
      </c>
      <c r="O200" s="94">
        <f t="shared" si="473"/>
        <v>0</v>
      </c>
      <c r="P200" s="94">
        <f t="shared" si="473"/>
        <v>0</v>
      </c>
      <c r="Q200" s="94">
        <f t="shared" si="473"/>
        <v>0</v>
      </c>
      <c r="R200" s="94">
        <f t="shared" si="473"/>
        <v>0</v>
      </c>
      <c r="S200" s="94">
        <f t="shared" si="473"/>
        <v>0</v>
      </c>
      <c r="T200" s="94">
        <f t="shared" si="473"/>
        <v>0</v>
      </c>
      <c r="U200" s="94">
        <f t="shared" si="473"/>
        <v>0</v>
      </c>
      <c r="V200" s="94">
        <f t="shared" si="473"/>
        <v>0</v>
      </c>
      <c r="W200" s="94">
        <f t="shared" ref="W200:AJ200" si="474">IF(W197&gt;0,0,W197)</f>
        <v>0</v>
      </c>
      <c r="X200" s="94">
        <f t="shared" si="474"/>
        <v>0</v>
      </c>
      <c r="Y200" s="94">
        <f t="shared" si="474"/>
        <v>0</v>
      </c>
      <c r="Z200" s="94">
        <f t="shared" si="474"/>
        <v>0</v>
      </c>
      <c r="AA200" s="94">
        <f t="shared" si="474"/>
        <v>0</v>
      </c>
      <c r="AB200" s="94">
        <f t="shared" si="474"/>
        <v>0</v>
      </c>
      <c r="AC200" s="94">
        <f t="shared" si="474"/>
        <v>0</v>
      </c>
      <c r="AD200" s="94">
        <f t="shared" si="474"/>
        <v>0</v>
      </c>
      <c r="AE200" s="94">
        <f t="shared" si="474"/>
        <v>0</v>
      </c>
      <c r="AF200" s="94">
        <f t="shared" si="474"/>
        <v>0</v>
      </c>
      <c r="AG200" s="94">
        <f t="shared" si="474"/>
        <v>0</v>
      </c>
      <c r="AH200" s="94">
        <f t="shared" si="474"/>
        <v>0</v>
      </c>
      <c r="AI200" s="94">
        <f t="shared" si="474"/>
        <v>0</v>
      </c>
      <c r="AJ200" s="94">
        <f t="shared" si="474"/>
        <v>0</v>
      </c>
      <c r="AK200" s="94">
        <f t="shared" ref="AK200:AY200" si="475">IF(AK197&gt;0,0,AK197)</f>
        <v>0</v>
      </c>
      <c r="AL200" s="94">
        <f t="shared" si="475"/>
        <v>0</v>
      </c>
      <c r="AM200" s="94">
        <f t="shared" si="475"/>
        <v>0</v>
      </c>
      <c r="AN200" s="94">
        <f t="shared" si="475"/>
        <v>0</v>
      </c>
      <c r="AO200" s="94">
        <f t="shared" si="475"/>
        <v>0</v>
      </c>
      <c r="AP200" s="94">
        <f t="shared" si="475"/>
        <v>0</v>
      </c>
      <c r="AQ200" s="94">
        <f t="shared" si="475"/>
        <v>0</v>
      </c>
      <c r="AR200" s="94">
        <f t="shared" si="475"/>
        <v>0</v>
      </c>
      <c r="AS200" s="94">
        <f t="shared" si="475"/>
        <v>0</v>
      </c>
      <c r="AT200" s="94">
        <f t="shared" si="475"/>
        <v>0</v>
      </c>
      <c r="AU200" s="94">
        <f t="shared" si="475"/>
        <v>0</v>
      </c>
      <c r="AV200" s="94">
        <f t="shared" si="475"/>
        <v>0</v>
      </c>
      <c r="AW200" s="94">
        <f t="shared" si="475"/>
        <v>0</v>
      </c>
      <c r="AX200" s="94">
        <f t="shared" si="475"/>
        <v>0</v>
      </c>
      <c r="AY200" s="94">
        <f t="shared" si="475"/>
        <v>0</v>
      </c>
    </row>
    <row r="201" spans="1:51" s="84" customFormat="1" ht="12.75" x14ac:dyDescent="0.2">
      <c r="A201" s="59" t="s">
        <v>186</v>
      </c>
      <c r="C201" s="85"/>
      <c r="D201" s="85"/>
      <c r="E201" s="85"/>
      <c r="F201" s="85"/>
      <c r="G201" s="85"/>
      <c r="H201" s="85"/>
      <c r="I201" s="85"/>
      <c r="J201" s="85"/>
    </row>
    <row r="202" spans="1:51" s="82" customFormat="1" ht="12.75" x14ac:dyDescent="0.2">
      <c r="A202" s="82" t="s">
        <v>10</v>
      </c>
      <c r="B202" s="84" t="s">
        <v>52</v>
      </c>
      <c r="C202" s="87">
        <f>SUM(D202:AY202)</f>
        <v>39444.926570579984</v>
      </c>
      <c r="D202" s="87">
        <f>D172+D199</f>
        <v>-110.00000000000004</v>
      </c>
      <c r="E202" s="87">
        <f t="shared" ref="E202:AY202" si="476">E172+E199</f>
        <v>-564.54545454545473</v>
      </c>
      <c r="F202" s="87">
        <f t="shared" si="476"/>
        <v>-928.18181818181847</v>
      </c>
      <c r="G202" s="87">
        <f t="shared" si="476"/>
        <v>-1291.8181818181822</v>
      </c>
      <c r="H202" s="87">
        <f t="shared" si="476"/>
        <v>-655.45454545454572</v>
      </c>
      <c r="I202" s="87">
        <f t="shared" si="476"/>
        <v>-928.18181818181847</v>
      </c>
      <c r="J202" s="87">
        <f t="shared" si="476"/>
        <v>110.63636363636368</v>
      </c>
      <c r="K202" s="87">
        <f t="shared" si="476"/>
        <v>41.790909090909054</v>
      </c>
      <c r="L202" s="87">
        <f t="shared" si="476"/>
        <v>66.060909090909149</v>
      </c>
      <c r="M202" s="87">
        <f t="shared" si="476"/>
        <v>92.757909090909152</v>
      </c>
      <c r="N202" s="87">
        <f t="shared" si="476"/>
        <v>122.12460909090908</v>
      </c>
      <c r="O202" s="87">
        <f t="shared" si="476"/>
        <v>315.10170421055363</v>
      </c>
      <c r="P202" s="87">
        <f t="shared" si="476"/>
        <v>703.68607688387124</v>
      </c>
      <c r="Q202" s="87">
        <f t="shared" si="476"/>
        <v>839.68209517625212</v>
      </c>
      <c r="R202" s="87">
        <f t="shared" si="476"/>
        <v>1175.5753586031676</v>
      </c>
      <c r="S202" s="87">
        <f t="shared" si="476"/>
        <v>1174.7999519930638</v>
      </c>
      <c r="T202" s="87">
        <f t="shared" si="476"/>
        <v>1174.0406996873373</v>
      </c>
      <c r="U202" s="87">
        <f t="shared" si="476"/>
        <v>1173.2972651379798</v>
      </c>
      <c r="V202" s="87">
        <f t="shared" si="476"/>
        <v>1172.5693188084008</v>
      </c>
      <c r="W202" s="87">
        <f t="shared" si="476"/>
        <v>1171.8565380273546</v>
      </c>
      <c r="X202" s="87">
        <f t="shared" si="476"/>
        <v>1171.1586068459135</v>
      </c>
      <c r="Y202" s="87">
        <f t="shared" si="476"/>
        <v>1170.475215897419</v>
      </c>
      <c r="Z202" s="87">
        <f t="shared" si="476"/>
        <v>1169.8060622603514</v>
      </c>
      <c r="AA202" s="87">
        <f t="shared" si="476"/>
        <v>1169.1508493240565</v>
      </c>
      <c r="AB202" s="87">
        <f t="shared" si="476"/>
        <v>1168.5092866572675</v>
      </c>
      <c r="AC202" s="87">
        <f t="shared" si="476"/>
        <v>1167.8810898793697</v>
      </c>
      <c r="AD202" s="87">
        <f t="shared" si="476"/>
        <v>1167.2659805343449</v>
      </c>
      <c r="AE202" s="87">
        <f t="shared" si="476"/>
        <v>1166.6636859673415</v>
      </c>
      <c r="AF202" s="87">
        <f t="shared" si="476"/>
        <v>1166.0739392038174</v>
      </c>
      <c r="AG202" s="87">
        <f t="shared" si="476"/>
        <v>1165.4964788312002</v>
      </c>
      <c r="AH202" s="87">
        <f t="shared" si="476"/>
        <v>1164.9310488830122</v>
      </c>
      <c r="AI202" s="87">
        <f t="shared" si="476"/>
        <v>1164.3773987254115</v>
      </c>
      <c r="AJ202" s="87">
        <f t="shared" si="476"/>
        <v>1163.8352829460944</v>
      </c>
      <c r="AK202" s="87">
        <f t="shared" si="476"/>
        <v>1163.3044612455126</v>
      </c>
      <c r="AL202" s="87">
        <f t="shared" si="476"/>
        <v>1162.78469833036</v>
      </c>
      <c r="AM202" s="87">
        <f t="shared" si="476"/>
        <v>1162.2757638092728</v>
      </c>
      <c r="AN202" s="87">
        <f t="shared" si="476"/>
        <v>1161.7774320907085</v>
      </c>
      <c r="AO202" s="87">
        <f t="shared" si="476"/>
        <v>1161.2894822829473</v>
      </c>
      <c r="AP202" s="87">
        <f t="shared" si="476"/>
        <v>1160.8116980961815</v>
      </c>
      <c r="AQ202" s="87">
        <f t="shared" si="476"/>
        <v>1160.3438677466399</v>
      </c>
      <c r="AR202" s="87">
        <f t="shared" si="476"/>
        <v>1159.8857838627139</v>
      </c>
      <c r="AS202" s="87">
        <f t="shared" si="476"/>
        <v>1159.4372433930359</v>
      </c>
      <c r="AT202" s="87">
        <f t="shared" si="476"/>
        <v>1158.9980475164764</v>
      </c>
      <c r="AU202" s="87">
        <f t="shared" si="476"/>
        <v>1158.5680015540122</v>
      </c>
      <c r="AV202" s="87">
        <f t="shared" si="476"/>
        <v>1158.1469148824324</v>
      </c>
      <c r="AW202" s="87">
        <f t="shared" si="476"/>
        <v>1157.7346008498437</v>
      </c>
      <c r="AX202" s="87">
        <f t="shared" si="476"/>
        <v>1230.7210282080857</v>
      </c>
      <c r="AY202" s="87">
        <f t="shared" si="476"/>
        <v>3097.4247304100013</v>
      </c>
    </row>
    <row r="203" spans="1:51" s="13" customFormat="1" ht="12.75" x14ac:dyDescent="0.2">
      <c r="A203" s="15"/>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row>
    <row r="204" spans="1:51" s="67" customFormat="1" ht="12.75" customHeight="1" x14ac:dyDescent="0.2">
      <c r="A204" s="67" t="str">
        <f t="shared" ref="A204:AF204" si="477">A$97</f>
        <v>Months --&gt;</v>
      </c>
      <c r="B204" s="67" t="str">
        <f t="shared" si="477"/>
        <v>units</v>
      </c>
      <c r="C204" s="67" t="str">
        <f t="shared" si="477"/>
        <v>Total</v>
      </c>
      <c r="D204" s="90">
        <f t="shared" si="477"/>
        <v>43922</v>
      </c>
      <c r="E204" s="90">
        <f t="shared" si="477"/>
        <v>43952</v>
      </c>
      <c r="F204" s="90">
        <f t="shared" si="477"/>
        <v>43983</v>
      </c>
      <c r="G204" s="90">
        <f t="shared" si="477"/>
        <v>44013</v>
      </c>
      <c r="H204" s="90">
        <f t="shared" si="477"/>
        <v>44044</v>
      </c>
      <c r="I204" s="90">
        <f t="shared" si="477"/>
        <v>44075</v>
      </c>
      <c r="J204" s="90">
        <f t="shared" si="477"/>
        <v>44105</v>
      </c>
      <c r="K204" s="90">
        <f t="shared" si="477"/>
        <v>44136</v>
      </c>
      <c r="L204" s="90">
        <f t="shared" si="477"/>
        <v>44166</v>
      </c>
      <c r="M204" s="90">
        <f t="shared" si="477"/>
        <v>44197</v>
      </c>
      <c r="N204" s="90">
        <f t="shared" si="477"/>
        <v>44228</v>
      </c>
      <c r="O204" s="90">
        <f t="shared" si="477"/>
        <v>44256</v>
      </c>
      <c r="P204" s="90">
        <f t="shared" si="477"/>
        <v>44287</v>
      </c>
      <c r="Q204" s="90">
        <f t="shared" si="477"/>
        <v>44317</v>
      </c>
      <c r="R204" s="90">
        <f t="shared" si="477"/>
        <v>44348</v>
      </c>
      <c r="S204" s="90">
        <f t="shared" si="477"/>
        <v>44378</v>
      </c>
      <c r="T204" s="90">
        <f t="shared" si="477"/>
        <v>44409</v>
      </c>
      <c r="U204" s="90">
        <f t="shared" si="477"/>
        <v>44440</v>
      </c>
      <c r="V204" s="90">
        <f t="shared" si="477"/>
        <v>44470</v>
      </c>
      <c r="W204" s="90">
        <f t="shared" si="477"/>
        <v>44501</v>
      </c>
      <c r="X204" s="90">
        <f t="shared" si="477"/>
        <v>44531</v>
      </c>
      <c r="Y204" s="90">
        <f t="shared" si="477"/>
        <v>44562</v>
      </c>
      <c r="Z204" s="90">
        <f t="shared" si="477"/>
        <v>44593</v>
      </c>
      <c r="AA204" s="90">
        <f t="shared" si="477"/>
        <v>44621</v>
      </c>
      <c r="AB204" s="90">
        <f t="shared" si="477"/>
        <v>44652</v>
      </c>
      <c r="AC204" s="90">
        <f t="shared" si="477"/>
        <v>44682</v>
      </c>
      <c r="AD204" s="90">
        <f t="shared" si="477"/>
        <v>44713</v>
      </c>
      <c r="AE204" s="90">
        <f t="shared" si="477"/>
        <v>44743</v>
      </c>
      <c r="AF204" s="90">
        <f t="shared" si="477"/>
        <v>44774</v>
      </c>
      <c r="AG204" s="90">
        <f t="shared" ref="AG204:AY204" si="478">AG$97</f>
        <v>44805</v>
      </c>
      <c r="AH204" s="90">
        <f t="shared" si="478"/>
        <v>44835</v>
      </c>
      <c r="AI204" s="90">
        <f t="shared" si="478"/>
        <v>44866</v>
      </c>
      <c r="AJ204" s="90">
        <f t="shared" si="478"/>
        <v>44896</v>
      </c>
      <c r="AK204" s="90">
        <f t="shared" si="478"/>
        <v>44927</v>
      </c>
      <c r="AL204" s="90">
        <f t="shared" si="478"/>
        <v>44958</v>
      </c>
      <c r="AM204" s="90">
        <f t="shared" si="478"/>
        <v>44986</v>
      </c>
      <c r="AN204" s="90">
        <f t="shared" si="478"/>
        <v>45017</v>
      </c>
      <c r="AO204" s="90">
        <f t="shared" si="478"/>
        <v>45047</v>
      </c>
      <c r="AP204" s="90">
        <f t="shared" si="478"/>
        <v>45078</v>
      </c>
      <c r="AQ204" s="90">
        <f t="shared" si="478"/>
        <v>45108</v>
      </c>
      <c r="AR204" s="90">
        <f t="shared" si="478"/>
        <v>45139</v>
      </c>
      <c r="AS204" s="90">
        <f t="shared" si="478"/>
        <v>45170</v>
      </c>
      <c r="AT204" s="90">
        <f t="shared" si="478"/>
        <v>45200</v>
      </c>
      <c r="AU204" s="90">
        <f t="shared" si="478"/>
        <v>45231</v>
      </c>
      <c r="AV204" s="90">
        <f t="shared" si="478"/>
        <v>45261</v>
      </c>
      <c r="AW204" s="90">
        <f t="shared" si="478"/>
        <v>45292</v>
      </c>
      <c r="AX204" s="90">
        <f t="shared" si="478"/>
        <v>45323</v>
      </c>
      <c r="AY204" s="90">
        <f t="shared" si="478"/>
        <v>45352</v>
      </c>
    </row>
    <row r="205" spans="1:51" s="29" customFormat="1" ht="33.75" customHeight="1" x14ac:dyDescent="0.25">
      <c r="A205" s="68" t="s">
        <v>37</v>
      </c>
      <c r="C205" s="75"/>
      <c r="D205" s="75"/>
      <c r="E205" s="75"/>
      <c r="F205" s="75"/>
      <c r="G205" s="75"/>
      <c r="H205" s="75"/>
      <c r="I205" s="75"/>
      <c r="J205" s="75"/>
    </row>
    <row r="206" spans="1:51" s="109" customFormat="1" ht="12.75" x14ac:dyDescent="0.2">
      <c r="A206" s="109" t="str">
        <f>A111</f>
        <v>Cashstream 1: Revenue</v>
      </c>
      <c r="B206" s="109" t="str">
        <f>B111</f>
        <v>$ Real</v>
      </c>
      <c r="C206" s="105">
        <f>SUM(D206:AY206)</f>
        <v>556498.19042399991</v>
      </c>
      <c r="D206" s="105">
        <f t="shared" ref="D206:AY206" si="479">D111</f>
        <v>0</v>
      </c>
      <c r="E206" s="105">
        <f t="shared" si="479"/>
        <v>0</v>
      </c>
      <c r="F206" s="105">
        <f t="shared" si="479"/>
        <v>0</v>
      </c>
      <c r="G206" s="105">
        <f t="shared" si="479"/>
        <v>0</v>
      </c>
      <c r="H206" s="105">
        <f t="shared" si="479"/>
        <v>0</v>
      </c>
      <c r="I206" s="105">
        <f t="shared" si="479"/>
        <v>0</v>
      </c>
      <c r="J206" s="105">
        <f t="shared" si="479"/>
        <v>6600</v>
      </c>
      <c r="K206" s="105">
        <f t="shared" si="479"/>
        <v>7260</v>
      </c>
      <c r="L206" s="105">
        <f t="shared" si="479"/>
        <v>7986</v>
      </c>
      <c r="M206" s="105">
        <f t="shared" si="479"/>
        <v>8784.6</v>
      </c>
      <c r="N206" s="105">
        <f t="shared" si="479"/>
        <v>9663.06</v>
      </c>
      <c r="O206" s="105">
        <f t="shared" si="479"/>
        <v>10629.366</v>
      </c>
      <c r="P206" s="105">
        <f t="shared" si="479"/>
        <v>11692.302600000003</v>
      </c>
      <c r="Q206" s="105">
        <f t="shared" si="479"/>
        <v>12861.532860000003</v>
      </c>
      <c r="R206" s="105">
        <f t="shared" si="479"/>
        <v>14147.686146000004</v>
      </c>
      <c r="S206" s="105">
        <f t="shared" si="479"/>
        <v>14147.686146000004</v>
      </c>
      <c r="T206" s="105">
        <f t="shared" si="479"/>
        <v>14147.686146000004</v>
      </c>
      <c r="U206" s="105">
        <f t="shared" si="479"/>
        <v>14147.686146000004</v>
      </c>
      <c r="V206" s="105">
        <f t="shared" si="479"/>
        <v>14147.686146000004</v>
      </c>
      <c r="W206" s="105">
        <f t="shared" si="479"/>
        <v>14147.686146000004</v>
      </c>
      <c r="X206" s="105">
        <f t="shared" si="479"/>
        <v>14147.686146000004</v>
      </c>
      <c r="Y206" s="105">
        <f t="shared" si="479"/>
        <v>14147.686146000004</v>
      </c>
      <c r="Z206" s="105">
        <f t="shared" si="479"/>
        <v>14147.686146000004</v>
      </c>
      <c r="AA206" s="105">
        <f t="shared" si="479"/>
        <v>14147.686146000004</v>
      </c>
      <c r="AB206" s="105">
        <f t="shared" si="479"/>
        <v>14147.686146000004</v>
      </c>
      <c r="AC206" s="105">
        <f t="shared" si="479"/>
        <v>14147.686146000004</v>
      </c>
      <c r="AD206" s="105">
        <f t="shared" si="479"/>
        <v>14147.686146000004</v>
      </c>
      <c r="AE206" s="105">
        <f t="shared" si="479"/>
        <v>14147.686146000004</v>
      </c>
      <c r="AF206" s="105">
        <f t="shared" si="479"/>
        <v>14147.686146000004</v>
      </c>
      <c r="AG206" s="105">
        <f t="shared" si="479"/>
        <v>14147.686146000004</v>
      </c>
      <c r="AH206" s="105">
        <f t="shared" si="479"/>
        <v>14147.686146000004</v>
      </c>
      <c r="AI206" s="105">
        <f t="shared" si="479"/>
        <v>14147.686146000004</v>
      </c>
      <c r="AJ206" s="105">
        <f t="shared" si="479"/>
        <v>14147.686146000004</v>
      </c>
      <c r="AK206" s="105">
        <f t="shared" si="479"/>
        <v>14147.686146000004</v>
      </c>
      <c r="AL206" s="105">
        <f t="shared" si="479"/>
        <v>14147.686146000004</v>
      </c>
      <c r="AM206" s="105">
        <f t="shared" si="479"/>
        <v>14147.686146000004</v>
      </c>
      <c r="AN206" s="105">
        <f t="shared" si="479"/>
        <v>14147.686146000004</v>
      </c>
      <c r="AO206" s="105">
        <f t="shared" si="479"/>
        <v>14147.686146000004</v>
      </c>
      <c r="AP206" s="105">
        <f t="shared" si="479"/>
        <v>14147.686146000004</v>
      </c>
      <c r="AQ206" s="105">
        <f t="shared" si="479"/>
        <v>14147.686146000004</v>
      </c>
      <c r="AR206" s="105">
        <f t="shared" si="479"/>
        <v>14147.686146000004</v>
      </c>
      <c r="AS206" s="105">
        <f t="shared" si="479"/>
        <v>14147.686146000004</v>
      </c>
      <c r="AT206" s="105">
        <f t="shared" si="479"/>
        <v>14147.686146000004</v>
      </c>
      <c r="AU206" s="105">
        <f t="shared" si="479"/>
        <v>14147.686146000004</v>
      </c>
      <c r="AV206" s="105">
        <f t="shared" si="479"/>
        <v>14147.686146000004</v>
      </c>
      <c r="AW206" s="105">
        <f t="shared" si="479"/>
        <v>14147.686146000004</v>
      </c>
      <c r="AX206" s="105">
        <f t="shared" si="479"/>
        <v>14147.686146000004</v>
      </c>
      <c r="AY206" s="105">
        <f t="shared" si="479"/>
        <v>14147.686146000004</v>
      </c>
    </row>
    <row r="207" spans="1:51" s="109" customFormat="1" ht="12.75" x14ac:dyDescent="0.2">
      <c r="A207" s="109" t="str">
        <f>A122</f>
        <v>Cashstream 2: Capital Costs</v>
      </c>
      <c r="B207" s="109" t="str">
        <f>B122</f>
        <v>$ Real</v>
      </c>
      <c r="C207" s="105">
        <f>SUM(D207:AY207)</f>
        <v>81000</v>
      </c>
      <c r="D207" s="105">
        <f t="shared" ref="D207:AY207" si="480">D122</f>
        <v>0</v>
      </c>
      <c r="E207" s="105">
        <f t="shared" si="480"/>
        <v>5000</v>
      </c>
      <c r="F207" s="105">
        <f t="shared" si="480"/>
        <v>9000</v>
      </c>
      <c r="G207" s="105">
        <f t="shared" si="480"/>
        <v>13000</v>
      </c>
      <c r="H207" s="105">
        <f t="shared" si="480"/>
        <v>6000</v>
      </c>
      <c r="I207" s="105">
        <f t="shared" si="480"/>
        <v>9000</v>
      </c>
      <c r="J207" s="105">
        <f t="shared" si="480"/>
        <v>0</v>
      </c>
      <c r="K207" s="105">
        <f t="shared" si="480"/>
        <v>1000</v>
      </c>
      <c r="L207" s="105">
        <f t="shared" si="480"/>
        <v>1000</v>
      </c>
      <c r="M207" s="105">
        <f t="shared" si="480"/>
        <v>1000</v>
      </c>
      <c r="N207" s="105">
        <f t="shared" si="480"/>
        <v>1000</v>
      </c>
      <c r="O207" s="105">
        <f t="shared" si="480"/>
        <v>1000</v>
      </c>
      <c r="P207" s="105">
        <f t="shared" si="480"/>
        <v>1000</v>
      </c>
      <c r="Q207" s="105">
        <f t="shared" si="480"/>
        <v>1000</v>
      </c>
      <c r="R207" s="105">
        <f t="shared" si="480"/>
        <v>1000</v>
      </c>
      <c r="S207" s="105">
        <f t="shared" si="480"/>
        <v>1000</v>
      </c>
      <c r="T207" s="105">
        <f t="shared" si="480"/>
        <v>1000</v>
      </c>
      <c r="U207" s="105">
        <f t="shared" si="480"/>
        <v>1000</v>
      </c>
      <c r="V207" s="105">
        <f t="shared" si="480"/>
        <v>1000</v>
      </c>
      <c r="W207" s="105">
        <f t="shared" si="480"/>
        <v>1000</v>
      </c>
      <c r="X207" s="105">
        <f t="shared" si="480"/>
        <v>1000</v>
      </c>
      <c r="Y207" s="105">
        <f t="shared" si="480"/>
        <v>1000</v>
      </c>
      <c r="Z207" s="105">
        <f t="shared" si="480"/>
        <v>1000</v>
      </c>
      <c r="AA207" s="105">
        <f t="shared" si="480"/>
        <v>1000</v>
      </c>
      <c r="AB207" s="105">
        <f t="shared" si="480"/>
        <v>1000</v>
      </c>
      <c r="AC207" s="105">
        <f t="shared" si="480"/>
        <v>1000</v>
      </c>
      <c r="AD207" s="105">
        <f t="shared" si="480"/>
        <v>1000</v>
      </c>
      <c r="AE207" s="105">
        <f t="shared" si="480"/>
        <v>1000</v>
      </c>
      <c r="AF207" s="105">
        <f t="shared" si="480"/>
        <v>1000</v>
      </c>
      <c r="AG207" s="105">
        <f t="shared" si="480"/>
        <v>1000</v>
      </c>
      <c r="AH207" s="105">
        <f t="shared" si="480"/>
        <v>1000</v>
      </c>
      <c r="AI207" s="105">
        <f t="shared" si="480"/>
        <v>1000</v>
      </c>
      <c r="AJ207" s="105">
        <f t="shared" si="480"/>
        <v>1000</v>
      </c>
      <c r="AK207" s="105">
        <f t="shared" si="480"/>
        <v>1000</v>
      </c>
      <c r="AL207" s="105">
        <f t="shared" si="480"/>
        <v>1000</v>
      </c>
      <c r="AM207" s="105">
        <f t="shared" si="480"/>
        <v>1000</v>
      </c>
      <c r="AN207" s="105">
        <f t="shared" si="480"/>
        <v>1000</v>
      </c>
      <c r="AO207" s="105">
        <f t="shared" si="480"/>
        <v>1000</v>
      </c>
      <c r="AP207" s="105">
        <f t="shared" si="480"/>
        <v>1000</v>
      </c>
      <c r="AQ207" s="105">
        <f t="shared" si="480"/>
        <v>1000</v>
      </c>
      <c r="AR207" s="105">
        <f t="shared" si="480"/>
        <v>1000</v>
      </c>
      <c r="AS207" s="105">
        <f t="shared" si="480"/>
        <v>1000</v>
      </c>
      <c r="AT207" s="105">
        <f t="shared" si="480"/>
        <v>1000</v>
      </c>
      <c r="AU207" s="105">
        <f t="shared" si="480"/>
        <v>1000</v>
      </c>
      <c r="AV207" s="105">
        <f t="shared" si="480"/>
        <v>1000</v>
      </c>
      <c r="AW207" s="105">
        <f t="shared" si="480"/>
        <v>1000</v>
      </c>
      <c r="AX207" s="105">
        <f t="shared" si="480"/>
        <v>0</v>
      </c>
      <c r="AY207" s="105">
        <f t="shared" si="480"/>
        <v>0</v>
      </c>
    </row>
    <row r="208" spans="1:51" s="109" customFormat="1" ht="12.75" x14ac:dyDescent="0.2">
      <c r="A208" s="109" t="str">
        <f>A160</f>
        <v>Cashstream 3: Operating Costs</v>
      </c>
      <c r="B208" s="109" t="str">
        <f>B160</f>
        <v>$ Real</v>
      </c>
      <c r="C208" s="105">
        <f>SUM(D208:AY208)</f>
        <v>384189.83979599987</v>
      </c>
      <c r="D208" s="105">
        <f t="shared" ref="D208:AY208" si="481">D160</f>
        <v>1210</v>
      </c>
      <c r="E208" s="105">
        <f t="shared" si="481"/>
        <v>1210</v>
      </c>
      <c r="F208" s="105">
        <f t="shared" si="481"/>
        <v>1210</v>
      </c>
      <c r="G208" s="105">
        <f t="shared" si="481"/>
        <v>1210</v>
      </c>
      <c r="H208" s="105">
        <f t="shared" si="481"/>
        <v>1210</v>
      </c>
      <c r="I208" s="105">
        <f t="shared" si="481"/>
        <v>19210</v>
      </c>
      <c r="J208" s="105">
        <f t="shared" si="481"/>
        <v>5383</v>
      </c>
      <c r="K208" s="105">
        <f t="shared" si="481"/>
        <v>5800.3</v>
      </c>
      <c r="L208" s="105">
        <f t="shared" si="481"/>
        <v>6259.33</v>
      </c>
      <c r="M208" s="105">
        <f t="shared" si="481"/>
        <v>6764.2629999999999</v>
      </c>
      <c r="N208" s="105">
        <f t="shared" si="481"/>
        <v>7319.6893</v>
      </c>
      <c r="O208" s="105">
        <f t="shared" si="481"/>
        <v>7930.6582300000018</v>
      </c>
      <c r="P208" s="105">
        <f t="shared" si="481"/>
        <v>8602.7240530000017</v>
      </c>
      <c r="Q208" s="105">
        <f t="shared" si="481"/>
        <v>9341.9964583000037</v>
      </c>
      <c r="R208" s="105">
        <f t="shared" si="481"/>
        <v>9569.9963590000025</v>
      </c>
      <c r="S208" s="105">
        <f t="shared" si="481"/>
        <v>9569.9963590000025</v>
      </c>
      <c r="T208" s="105">
        <f t="shared" si="481"/>
        <v>9569.9963590000025</v>
      </c>
      <c r="U208" s="105">
        <f t="shared" si="481"/>
        <v>9569.9963590000025</v>
      </c>
      <c r="V208" s="105">
        <f t="shared" si="481"/>
        <v>9569.9963590000025</v>
      </c>
      <c r="W208" s="105">
        <f t="shared" si="481"/>
        <v>9569.9963590000025</v>
      </c>
      <c r="X208" s="105">
        <f t="shared" si="481"/>
        <v>9569.9963590000025</v>
      </c>
      <c r="Y208" s="105">
        <f t="shared" si="481"/>
        <v>9569.9963590000025</v>
      </c>
      <c r="Z208" s="105">
        <f t="shared" si="481"/>
        <v>9569.9963590000025</v>
      </c>
      <c r="AA208" s="105">
        <f t="shared" si="481"/>
        <v>9569.9963590000025</v>
      </c>
      <c r="AB208" s="105">
        <f t="shared" si="481"/>
        <v>9569.9963590000025</v>
      </c>
      <c r="AC208" s="105">
        <f t="shared" si="481"/>
        <v>9569.9963590000025</v>
      </c>
      <c r="AD208" s="105">
        <f t="shared" si="481"/>
        <v>9569.9963590000025</v>
      </c>
      <c r="AE208" s="105">
        <f t="shared" si="481"/>
        <v>9569.9963590000025</v>
      </c>
      <c r="AF208" s="105">
        <f t="shared" si="481"/>
        <v>9569.9963590000025</v>
      </c>
      <c r="AG208" s="105">
        <f t="shared" si="481"/>
        <v>9569.9963590000025</v>
      </c>
      <c r="AH208" s="105">
        <f t="shared" si="481"/>
        <v>9569.9963590000025</v>
      </c>
      <c r="AI208" s="105">
        <f t="shared" si="481"/>
        <v>9569.9963590000025</v>
      </c>
      <c r="AJ208" s="105">
        <f t="shared" si="481"/>
        <v>9569.9963590000025</v>
      </c>
      <c r="AK208" s="105">
        <f t="shared" si="481"/>
        <v>9569.9963590000025</v>
      </c>
      <c r="AL208" s="105">
        <f t="shared" si="481"/>
        <v>9569.9963590000025</v>
      </c>
      <c r="AM208" s="105">
        <f t="shared" si="481"/>
        <v>9569.9963590000025</v>
      </c>
      <c r="AN208" s="105">
        <f t="shared" si="481"/>
        <v>9569.9963590000025</v>
      </c>
      <c r="AO208" s="105">
        <f t="shared" si="481"/>
        <v>9569.9963590000025</v>
      </c>
      <c r="AP208" s="105">
        <f t="shared" si="481"/>
        <v>9569.9963590000025</v>
      </c>
      <c r="AQ208" s="105">
        <f t="shared" si="481"/>
        <v>9569.9963590000025</v>
      </c>
      <c r="AR208" s="105">
        <f t="shared" si="481"/>
        <v>9569.9963590000025</v>
      </c>
      <c r="AS208" s="105">
        <f t="shared" si="481"/>
        <v>9569.9963590000025</v>
      </c>
      <c r="AT208" s="105">
        <f t="shared" si="481"/>
        <v>9569.9963590000025</v>
      </c>
      <c r="AU208" s="105">
        <f t="shared" si="481"/>
        <v>9569.9963590000025</v>
      </c>
      <c r="AV208" s="105">
        <f t="shared" si="481"/>
        <v>9569.9963590000025</v>
      </c>
      <c r="AW208" s="105">
        <f t="shared" si="481"/>
        <v>9569.9963590000025</v>
      </c>
      <c r="AX208" s="105">
        <f t="shared" si="481"/>
        <v>9569.9963590000025</v>
      </c>
      <c r="AY208" s="105">
        <f t="shared" si="481"/>
        <v>-14282.001092299999</v>
      </c>
    </row>
    <row r="209" spans="1:51" s="109" customFormat="1" ht="12.75" x14ac:dyDescent="0.2">
      <c r="A209" s="109" t="str">
        <f>A202</f>
        <v>Cashstream 4: Taxes</v>
      </c>
      <c r="B209" s="109" t="str">
        <f>B202</f>
        <v>$ Real</v>
      </c>
      <c r="C209" s="105">
        <f>SUM(D209:AY209)</f>
        <v>39444.926570579984</v>
      </c>
      <c r="D209" s="105">
        <f t="shared" ref="D209:V209" si="482">D202</f>
        <v>-110.00000000000004</v>
      </c>
      <c r="E209" s="105">
        <f t="shared" si="482"/>
        <v>-564.54545454545473</v>
      </c>
      <c r="F209" s="105">
        <f t="shared" si="482"/>
        <v>-928.18181818181847</v>
      </c>
      <c r="G209" s="105">
        <f t="shared" si="482"/>
        <v>-1291.8181818181822</v>
      </c>
      <c r="H209" s="105">
        <f t="shared" si="482"/>
        <v>-655.45454545454572</v>
      </c>
      <c r="I209" s="105">
        <f t="shared" si="482"/>
        <v>-928.18181818181847</v>
      </c>
      <c r="J209" s="105">
        <f t="shared" si="482"/>
        <v>110.63636363636368</v>
      </c>
      <c r="K209" s="105">
        <f t="shared" si="482"/>
        <v>41.790909090909054</v>
      </c>
      <c r="L209" s="105">
        <f t="shared" si="482"/>
        <v>66.060909090909149</v>
      </c>
      <c r="M209" s="105">
        <f t="shared" si="482"/>
        <v>92.757909090909152</v>
      </c>
      <c r="N209" s="105">
        <f t="shared" si="482"/>
        <v>122.12460909090908</v>
      </c>
      <c r="O209" s="105">
        <f t="shared" si="482"/>
        <v>315.10170421055363</v>
      </c>
      <c r="P209" s="105">
        <f t="shared" si="482"/>
        <v>703.68607688387124</v>
      </c>
      <c r="Q209" s="105">
        <f t="shared" si="482"/>
        <v>839.68209517625212</v>
      </c>
      <c r="R209" s="105">
        <f t="shared" si="482"/>
        <v>1175.5753586031676</v>
      </c>
      <c r="S209" s="105">
        <f t="shared" si="482"/>
        <v>1174.7999519930638</v>
      </c>
      <c r="T209" s="105">
        <f t="shared" si="482"/>
        <v>1174.0406996873373</v>
      </c>
      <c r="U209" s="105">
        <f t="shared" si="482"/>
        <v>1173.2972651379798</v>
      </c>
      <c r="V209" s="105">
        <f t="shared" si="482"/>
        <v>1172.5693188084008</v>
      </c>
      <c r="W209" s="105">
        <f t="shared" ref="W209:AJ209" si="483">W202</f>
        <v>1171.8565380273546</v>
      </c>
      <c r="X209" s="105">
        <f t="shared" si="483"/>
        <v>1171.1586068459135</v>
      </c>
      <c r="Y209" s="105">
        <f t="shared" si="483"/>
        <v>1170.475215897419</v>
      </c>
      <c r="Z209" s="105">
        <f t="shared" si="483"/>
        <v>1169.8060622603514</v>
      </c>
      <c r="AA209" s="105">
        <f t="shared" si="483"/>
        <v>1169.1508493240565</v>
      </c>
      <c r="AB209" s="105">
        <f t="shared" si="483"/>
        <v>1168.5092866572675</v>
      </c>
      <c r="AC209" s="105">
        <f t="shared" si="483"/>
        <v>1167.8810898793697</v>
      </c>
      <c r="AD209" s="105">
        <f t="shared" si="483"/>
        <v>1167.2659805343449</v>
      </c>
      <c r="AE209" s="105">
        <f t="shared" si="483"/>
        <v>1166.6636859673415</v>
      </c>
      <c r="AF209" s="105">
        <f t="shared" si="483"/>
        <v>1166.0739392038174</v>
      </c>
      <c r="AG209" s="105">
        <f t="shared" si="483"/>
        <v>1165.4964788312002</v>
      </c>
      <c r="AH209" s="105">
        <f t="shared" si="483"/>
        <v>1164.9310488830122</v>
      </c>
      <c r="AI209" s="105">
        <f t="shared" si="483"/>
        <v>1164.3773987254115</v>
      </c>
      <c r="AJ209" s="105">
        <f t="shared" si="483"/>
        <v>1163.8352829460944</v>
      </c>
      <c r="AK209" s="105">
        <f t="shared" ref="AK209:AY209" si="484">AK202</f>
        <v>1163.3044612455126</v>
      </c>
      <c r="AL209" s="105">
        <f t="shared" si="484"/>
        <v>1162.78469833036</v>
      </c>
      <c r="AM209" s="105">
        <f t="shared" si="484"/>
        <v>1162.2757638092728</v>
      </c>
      <c r="AN209" s="105">
        <f t="shared" si="484"/>
        <v>1161.7774320907085</v>
      </c>
      <c r="AO209" s="105">
        <f t="shared" si="484"/>
        <v>1161.2894822829473</v>
      </c>
      <c r="AP209" s="105">
        <f t="shared" si="484"/>
        <v>1160.8116980961815</v>
      </c>
      <c r="AQ209" s="105">
        <f t="shared" si="484"/>
        <v>1160.3438677466399</v>
      </c>
      <c r="AR209" s="105">
        <f t="shared" si="484"/>
        <v>1159.8857838627139</v>
      </c>
      <c r="AS209" s="105">
        <f t="shared" si="484"/>
        <v>1159.4372433930359</v>
      </c>
      <c r="AT209" s="105">
        <f t="shared" si="484"/>
        <v>1158.9980475164764</v>
      </c>
      <c r="AU209" s="105">
        <f t="shared" si="484"/>
        <v>1158.5680015540122</v>
      </c>
      <c r="AV209" s="105">
        <f t="shared" si="484"/>
        <v>1158.1469148824324</v>
      </c>
      <c r="AW209" s="105">
        <f t="shared" si="484"/>
        <v>1157.7346008498437</v>
      </c>
      <c r="AX209" s="105">
        <f t="shared" si="484"/>
        <v>1230.7210282080857</v>
      </c>
      <c r="AY209" s="105">
        <f t="shared" si="484"/>
        <v>3097.4247304100013</v>
      </c>
    </row>
    <row r="210" spans="1:51" s="109" customFormat="1" ht="23.25" x14ac:dyDescent="0.35">
      <c r="A210" s="124" t="s">
        <v>208</v>
      </c>
      <c r="B210" s="109" t="s">
        <v>52</v>
      </c>
      <c r="C210" s="5">
        <f>SUM(D210:AY210)</f>
        <v>51863.42405742003</v>
      </c>
      <c r="D210" s="88">
        <f t="shared" ref="D210:AY210" si="485">D206-SUM(D207:D209)</f>
        <v>-1100</v>
      </c>
      <c r="E210" s="88">
        <f t="shared" si="485"/>
        <v>-5645.454545454545</v>
      </c>
      <c r="F210" s="88">
        <f t="shared" si="485"/>
        <v>-9281.818181818182</v>
      </c>
      <c r="G210" s="88">
        <f t="shared" si="485"/>
        <v>-12918.181818181818</v>
      </c>
      <c r="H210" s="88">
        <f t="shared" si="485"/>
        <v>-6554.545454545454</v>
      </c>
      <c r="I210" s="88">
        <f t="shared" si="485"/>
        <v>-27281.81818181818</v>
      </c>
      <c r="J210" s="88">
        <f t="shared" si="485"/>
        <v>1106.363636363636</v>
      </c>
      <c r="K210" s="88">
        <f t="shared" si="485"/>
        <v>417.90909090909099</v>
      </c>
      <c r="L210" s="88">
        <f t="shared" si="485"/>
        <v>660.60909090909081</v>
      </c>
      <c r="M210" s="88">
        <f t="shared" si="485"/>
        <v>927.57909090909106</v>
      </c>
      <c r="N210" s="88">
        <f t="shared" si="485"/>
        <v>1221.2460909090896</v>
      </c>
      <c r="O210" s="88">
        <f t="shared" si="485"/>
        <v>1383.606065789445</v>
      </c>
      <c r="P210" s="88">
        <f t="shared" si="485"/>
        <v>1385.8924701161304</v>
      </c>
      <c r="Q210" s="88">
        <f t="shared" si="485"/>
        <v>1679.8543065237463</v>
      </c>
      <c r="R210" s="88">
        <f t="shared" si="485"/>
        <v>2402.1144283968333</v>
      </c>
      <c r="S210" s="88">
        <f t="shared" si="485"/>
        <v>2402.8898350069376</v>
      </c>
      <c r="T210" s="88">
        <f t="shared" si="485"/>
        <v>2403.6490873126641</v>
      </c>
      <c r="U210" s="88">
        <f t="shared" si="485"/>
        <v>2404.3925218620207</v>
      </c>
      <c r="V210" s="88">
        <f t="shared" si="485"/>
        <v>2405.1204681916006</v>
      </c>
      <c r="W210" s="88">
        <f t="shared" si="485"/>
        <v>2405.8332489726472</v>
      </c>
      <c r="X210" s="88">
        <f t="shared" si="485"/>
        <v>2406.5311801540884</v>
      </c>
      <c r="Y210" s="88">
        <f t="shared" si="485"/>
        <v>2407.2145711025823</v>
      </c>
      <c r="Z210" s="88">
        <f t="shared" si="485"/>
        <v>2407.8837247396496</v>
      </c>
      <c r="AA210" s="88">
        <f t="shared" si="485"/>
        <v>2408.5389376759449</v>
      </c>
      <c r="AB210" s="88">
        <f t="shared" si="485"/>
        <v>2409.1805003427344</v>
      </c>
      <c r="AC210" s="88">
        <f t="shared" si="485"/>
        <v>2409.8086971206321</v>
      </c>
      <c r="AD210" s="88">
        <f t="shared" si="485"/>
        <v>2410.4238064656565</v>
      </c>
      <c r="AE210" s="88">
        <f t="shared" si="485"/>
        <v>2411.0261010326594</v>
      </c>
      <c r="AF210" s="88">
        <f t="shared" si="485"/>
        <v>2411.6158477961835</v>
      </c>
      <c r="AG210" s="88">
        <f t="shared" si="485"/>
        <v>2412.1933081688003</v>
      </c>
      <c r="AH210" s="88">
        <f t="shared" si="485"/>
        <v>2412.7587381169888</v>
      </c>
      <c r="AI210" s="88">
        <f t="shared" si="485"/>
        <v>2413.3123882745895</v>
      </c>
      <c r="AJ210" s="88">
        <f t="shared" si="485"/>
        <v>2413.8545040539066</v>
      </c>
      <c r="AK210" s="88">
        <f t="shared" si="485"/>
        <v>2414.3853257544888</v>
      </c>
      <c r="AL210" s="88">
        <f t="shared" si="485"/>
        <v>2414.9050886696405</v>
      </c>
      <c r="AM210" s="88">
        <f t="shared" si="485"/>
        <v>2415.4140231907277</v>
      </c>
      <c r="AN210" s="88">
        <f t="shared" si="485"/>
        <v>2415.9123549092928</v>
      </c>
      <c r="AO210" s="88">
        <f t="shared" si="485"/>
        <v>2416.4003047170536</v>
      </c>
      <c r="AP210" s="88">
        <f t="shared" si="485"/>
        <v>2416.8780889038189</v>
      </c>
      <c r="AQ210" s="88">
        <f t="shared" si="485"/>
        <v>2417.345919253361</v>
      </c>
      <c r="AR210" s="88">
        <f t="shared" si="485"/>
        <v>2417.8040031372875</v>
      </c>
      <c r="AS210" s="88">
        <f t="shared" si="485"/>
        <v>2418.2525436069645</v>
      </c>
      <c r="AT210" s="88">
        <f t="shared" si="485"/>
        <v>2418.6917394835255</v>
      </c>
      <c r="AU210" s="88">
        <f t="shared" si="485"/>
        <v>2419.1217854459883</v>
      </c>
      <c r="AV210" s="88">
        <f t="shared" si="485"/>
        <v>2419.5428721175685</v>
      </c>
      <c r="AW210" s="88">
        <f t="shared" si="485"/>
        <v>2419.9551861501568</v>
      </c>
      <c r="AX210" s="88">
        <f t="shared" si="485"/>
        <v>3346.9687587919161</v>
      </c>
      <c r="AY210" s="88">
        <f t="shared" si="485"/>
        <v>25332.262507890002</v>
      </c>
    </row>
    <row r="211" spans="1:51" s="84" customFormat="1" ht="13.5" thickBot="1" x14ac:dyDescent="0.25">
      <c r="A211" s="82"/>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row>
    <row r="212" spans="1:51" s="109" customFormat="1" ht="13.5" thickBot="1" x14ac:dyDescent="0.25">
      <c r="A212" s="111" t="s">
        <v>32</v>
      </c>
      <c r="B212" s="109" t="s">
        <v>52</v>
      </c>
      <c r="C212" s="87"/>
      <c r="D212" s="123">
        <f>D210</f>
        <v>-1100</v>
      </c>
      <c r="E212" s="87">
        <f t="shared" ref="E212:V212" si="486">D212+E210</f>
        <v>-6745.454545454545</v>
      </c>
      <c r="F212" s="87">
        <f t="shared" si="486"/>
        <v>-16027.272727272728</v>
      </c>
      <c r="G212" s="87">
        <f t="shared" si="486"/>
        <v>-28945.454545454544</v>
      </c>
      <c r="H212" s="87">
        <f t="shared" si="486"/>
        <v>-35500</v>
      </c>
      <c r="I212" s="87">
        <f t="shared" si="486"/>
        <v>-62781.818181818177</v>
      </c>
      <c r="J212" s="87">
        <f t="shared" si="486"/>
        <v>-61675.454545454544</v>
      </c>
      <c r="K212" s="87">
        <f t="shared" si="486"/>
        <v>-61257.545454545456</v>
      </c>
      <c r="L212" s="87">
        <f t="shared" si="486"/>
        <v>-60596.936363636363</v>
      </c>
      <c r="M212" s="87">
        <f t="shared" si="486"/>
        <v>-59669.357272727269</v>
      </c>
      <c r="N212" s="87">
        <f t="shared" si="486"/>
        <v>-58448.111181818182</v>
      </c>
      <c r="O212" s="87">
        <f t="shared" si="486"/>
        <v>-57064.50511602874</v>
      </c>
      <c r="P212" s="87">
        <f t="shared" si="486"/>
        <v>-55678.61264591261</v>
      </c>
      <c r="Q212" s="87">
        <f t="shared" si="486"/>
        <v>-53998.758339388864</v>
      </c>
      <c r="R212" s="87">
        <f t="shared" si="486"/>
        <v>-51596.643910992032</v>
      </c>
      <c r="S212" s="87">
        <f t="shared" si="486"/>
        <v>-49193.754075985096</v>
      </c>
      <c r="T212" s="87">
        <f t="shared" si="486"/>
        <v>-46790.104988672436</v>
      </c>
      <c r="U212" s="87">
        <f t="shared" si="486"/>
        <v>-44385.712466810415</v>
      </c>
      <c r="V212" s="87">
        <f t="shared" si="486"/>
        <v>-41980.591998618816</v>
      </c>
      <c r="W212" s="87">
        <f t="shared" ref="W212" si="487">V212+W210</f>
        <v>-39574.758749646171</v>
      </c>
      <c r="X212" s="87">
        <f t="shared" ref="X212" si="488">W212+X210</f>
        <v>-37168.227569492083</v>
      </c>
      <c r="Y212" s="87">
        <f t="shared" ref="Y212" si="489">X212+Y210</f>
        <v>-34761.012998389502</v>
      </c>
      <c r="Z212" s="87">
        <f t="shared" ref="Z212" si="490">Y212+Z210</f>
        <v>-32353.129273649851</v>
      </c>
      <c r="AA212" s="87">
        <f t="shared" ref="AA212" si="491">Z212+AA210</f>
        <v>-29944.590335973906</v>
      </c>
      <c r="AB212" s="87">
        <f t="shared" ref="AB212" si="492">AA212+AB210</f>
        <v>-27535.409835631173</v>
      </c>
      <c r="AC212" s="87">
        <f t="shared" ref="AC212" si="493">AB212+AC210</f>
        <v>-25125.601138510541</v>
      </c>
      <c r="AD212" s="87">
        <f t="shared" ref="AD212" si="494">AC212+AD210</f>
        <v>-22715.177332044885</v>
      </c>
      <c r="AE212" s="87">
        <f t="shared" ref="AE212" si="495">AD212+AE210</f>
        <v>-20304.151231012227</v>
      </c>
      <c r="AF212" s="87">
        <f t="shared" ref="AF212" si="496">AE212+AF210</f>
        <v>-17892.535383216044</v>
      </c>
      <c r="AG212" s="87">
        <f t="shared" ref="AG212" si="497">AF212+AG210</f>
        <v>-15480.342075047243</v>
      </c>
      <c r="AH212" s="87">
        <f t="shared" ref="AH212" si="498">AG212+AH210</f>
        <v>-13067.583336930255</v>
      </c>
      <c r="AI212" s="87">
        <f t="shared" ref="AI212" si="499">AH212+AI210</f>
        <v>-10654.270948655665</v>
      </c>
      <c r="AJ212" s="87">
        <f t="shared" ref="AJ212" si="500">AI212+AJ210</f>
        <v>-8240.4164446017585</v>
      </c>
      <c r="AK212" s="87">
        <f t="shared" ref="AK212" si="501">AJ212+AK210</f>
        <v>-5826.0311188472697</v>
      </c>
      <c r="AL212" s="87">
        <f t="shared" ref="AL212" si="502">AK212+AL210</f>
        <v>-3411.1260301776292</v>
      </c>
      <c r="AM212" s="87">
        <f t="shared" ref="AM212" si="503">AL212+AM210</f>
        <v>-995.71200698690154</v>
      </c>
      <c r="AN212" s="87">
        <f t="shared" ref="AN212" si="504">AM212+AN210</f>
        <v>1420.2003479223913</v>
      </c>
      <c r="AO212" s="87">
        <f t="shared" ref="AO212" si="505">AN212+AO210</f>
        <v>3836.6006526394449</v>
      </c>
      <c r="AP212" s="87">
        <f t="shared" ref="AP212" si="506">AO212+AP210</f>
        <v>6253.4787415432638</v>
      </c>
      <c r="AQ212" s="87">
        <f t="shared" ref="AQ212" si="507">AP212+AQ210</f>
        <v>8670.8246607966248</v>
      </c>
      <c r="AR212" s="87">
        <f t="shared" ref="AR212" si="508">AQ212+AR210</f>
        <v>11088.628663933912</v>
      </c>
      <c r="AS212" s="87">
        <f t="shared" ref="AS212" si="509">AR212+AS210</f>
        <v>13506.881207540877</v>
      </c>
      <c r="AT212" s="87">
        <f t="shared" ref="AT212" si="510">AS212+AT210</f>
        <v>15925.572947024402</v>
      </c>
      <c r="AU212" s="87">
        <f t="shared" ref="AU212" si="511">AT212+AU210</f>
        <v>18344.694732470391</v>
      </c>
      <c r="AV212" s="87">
        <f t="shared" ref="AV212" si="512">AU212+AV210</f>
        <v>20764.237604587957</v>
      </c>
      <c r="AW212" s="87">
        <f t="shared" ref="AW212" si="513">AV212+AW210</f>
        <v>23184.192790738114</v>
      </c>
      <c r="AX212" s="87">
        <f t="shared" ref="AX212" si="514">AW212+AX210</f>
        <v>26531.161549530028</v>
      </c>
      <c r="AY212" s="87">
        <f t="shared" ref="AY212" si="515">AX212+AY210</f>
        <v>51863.42405742003</v>
      </c>
    </row>
    <row r="213" spans="1:51" s="13" customFormat="1" ht="52.5" customHeight="1" x14ac:dyDescent="0.2">
      <c r="A213" s="68" t="s">
        <v>12</v>
      </c>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row>
    <row r="214" spans="1:51" s="13" customFormat="1" ht="12.75" x14ac:dyDescent="0.2">
      <c r="A214" s="59" t="s">
        <v>82</v>
      </c>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row>
    <row r="215" spans="1:51" s="13" customFormat="1" ht="13.5" thickBot="1" x14ac:dyDescent="0.25">
      <c r="A215" s="107" t="s">
        <v>2</v>
      </c>
      <c r="B215" s="107" t="s">
        <v>38</v>
      </c>
      <c r="C215" s="74"/>
      <c r="D215" s="118">
        <f>(7%+3%)^1/12</f>
        <v>8.3333333333333332E-3</v>
      </c>
      <c r="E215" s="118">
        <f t="shared" ref="E215" si="516">D215</f>
        <v>8.3333333333333332E-3</v>
      </c>
      <c r="F215" s="118">
        <f t="shared" ref="F215" si="517">E215</f>
        <v>8.3333333333333332E-3</v>
      </c>
      <c r="G215" s="118">
        <f t="shared" ref="G215" si="518">F215</f>
        <v>8.3333333333333332E-3</v>
      </c>
      <c r="H215" s="118">
        <f t="shared" ref="H215" si="519">G215</f>
        <v>8.3333333333333332E-3</v>
      </c>
      <c r="I215" s="118">
        <f t="shared" ref="I215" si="520">H215</f>
        <v>8.3333333333333332E-3</v>
      </c>
      <c r="J215" s="118">
        <f t="shared" ref="J215" si="521">I215</f>
        <v>8.3333333333333332E-3</v>
      </c>
      <c r="K215" s="118">
        <f t="shared" ref="K215" si="522">J215</f>
        <v>8.3333333333333332E-3</v>
      </c>
      <c r="L215" s="118">
        <f t="shared" ref="L215" si="523">K215</f>
        <v>8.3333333333333332E-3</v>
      </c>
      <c r="M215" s="118">
        <f t="shared" ref="M215" si="524">L215</f>
        <v>8.3333333333333332E-3</v>
      </c>
      <c r="N215" s="118">
        <f t="shared" ref="N215" si="525">M215</f>
        <v>8.3333333333333332E-3</v>
      </c>
      <c r="O215" s="118">
        <f t="shared" ref="O215" si="526">N215</f>
        <v>8.3333333333333332E-3</v>
      </c>
      <c r="P215" s="118">
        <f t="shared" ref="P215" si="527">O215</f>
        <v>8.3333333333333332E-3</v>
      </c>
      <c r="Q215" s="118">
        <f t="shared" ref="Q215" si="528">P215</f>
        <v>8.3333333333333332E-3</v>
      </c>
      <c r="R215" s="118">
        <f t="shared" ref="R215" si="529">Q215</f>
        <v>8.3333333333333332E-3</v>
      </c>
      <c r="S215" s="118">
        <f t="shared" ref="S215" si="530">R215</f>
        <v>8.3333333333333332E-3</v>
      </c>
      <c r="T215" s="118">
        <f t="shared" ref="T215" si="531">S215</f>
        <v>8.3333333333333332E-3</v>
      </c>
      <c r="U215" s="118">
        <f t="shared" ref="U215" si="532">T215</f>
        <v>8.3333333333333332E-3</v>
      </c>
      <c r="V215" s="118">
        <f t="shared" ref="V215" si="533">U215</f>
        <v>8.3333333333333332E-3</v>
      </c>
      <c r="W215" s="118">
        <f t="shared" ref="W215" si="534">V215</f>
        <v>8.3333333333333332E-3</v>
      </c>
      <c r="X215" s="118">
        <f t="shared" ref="X215" si="535">W215</f>
        <v>8.3333333333333332E-3</v>
      </c>
      <c r="Y215" s="118">
        <f t="shared" ref="Y215" si="536">X215</f>
        <v>8.3333333333333332E-3</v>
      </c>
      <c r="Z215" s="118">
        <f t="shared" ref="Z215" si="537">Y215</f>
        <v>8.3333333333333332E-3</v>
      </c>
      <c r="AA215" s="118">
        <f t="shared" ref="AA215" si="538">Z215</f>
        <v>8.3333333333333332E-3</v>
      </c>
      <c r="AB215" s="118">
        <f t="shared" ref="AB215" si="539">AA215</f>
        <v>8.3333333333333332E-3</v>
      </c>
      <c r="AC215" s="118">
        <f t="shared" ref="AC215" si="540">AB215</f>
        <v>8.3333333333333332E-3</v>
      </c>
      <c r="AD215" s="118">
        <f t="shared" ref="AD215" si="541">AC215</f>
        <v>8.3333333333333332E-3</v>
      </c>
      <c r="AE215" s="118">
        <f t="shared" ref="AE215" si="542">AD215</f>
        <v>8.3333333333333332E-3</v>
      </c>
      <c r="AF215" s="118">
        <f t="shared" ref="AF215" si="543">AE215</f>
        <v>8.3333333333333332E-3</v>
      </c>
      <c r="AG215" s="118">
        <f t="shared" ref="AG215" si="544">AF215</f>
        <v>8.3333333333333332E-3</v>
      </c>
      <c r="AH215" s="118">
        <f t="shared" ref="AH215" si="545">AG215</f>
        <v>8.3333333333333332E-3</v>
      </c>
      <c r="AI215" s="118">
        <f t="shared" ref="AI215" si="546">AH215</f>
        <v>8.3333333333333332E-3</v>
      </c>
      <c r="AJ215" s="118">
        <f t="shared" ref="AJ215" si="547">AI215</f>
        <v>8.3333333333333332E-3</v>
      </c>
      <c r="AK215" s="118">
        <f t="shared" ref="AK215" si="548">AJ215</f>
        <v>8.3333333333333332E-3</v>
      </c>
      <c r="AL215" s="118">
        <f t="shared" ref="AL215" si="549">AK215</f>
        <v>8.3333333333333332E-3</v>
      </c>
      <c r="AM215" s="118">
        <f t="shared" ref="AM215" si="550">AL215</f>
        <v>8.3333333333333332E-3</v>
      </c>
      <c r="AN215" s="118">
        <f t="shared" ref="AN215" si="551">AM215</f>
        <v>8.3333333333333332E-3</v>
      </c>
      <c r="AO215" s="118">
        <f t="shared" ref="AO215" si="552">AN215</f>
        <v>8.3333333333333332E-3</v>
      </c>
      <c r="AP215" s="118">
        <f t="shared" ref="AP215" si="553">AO215</f>
        <v>8.3333333333333332E-3</v>
      </c>
      <c r="AQ215" s="118">
        <f t="shared" ref="AQ215" si="554">AP215</f>
        <v>8.3333333333333332E-3</v>
      </c>
      <c r="AR215" s="118">
        <f t="shared" ref="AR215" si="555">AQ215</f>
        <v>8.3333333333333332E-3</v>
      </c>
      <c r="AS215" s="118">
        <f t="shared" ref="AS215" si="556">AR215</f>
        <v>8.3333333333333332E-3</v>
      </c>
      <c r="AT215" s="118">
        <f t="shared" ref="AT215" si="557">AS215</f>
        <v>8.3333333333333332E-3</v>
      </c>
      <c r="AU215" s="118">
        <f t="shared" ref="AU215" si="558">AT215</f>
        <v>8.3333333333333332E-3</v>
      </c>
      <c r="AV215" s="118">
        <f t="shared" ref="AV215" si="559">AU215</f>
        <v>8.3333333333333332E-3</v>
      </c>
      <c r="AW215" s="118">
        <f t="shared" ref="AW215" si="560">AV215</f>
        <v>8.3333333333333332E-3</v>
      </c>
      <c r="AX215" s="118">
        <f t="shared" ref="AX215" si="561">AW215</f>
        <v>8.3333333333333332E-3</v>
      </c>
      <c r="AY215" s="118">
        <f t="shared" ref="AY215" si="562">AX215</f>
        <v>8.3333333333333332E-3</v>
      </c>
    </row>
    <row r="216" spans="1:51" s="13" customFormat="1" ht="13.5" thickBot="1" x14ac:dyDescent="0.25">
      <c r="A216" s="13" t="s">
        <v>13</v>
      </c>
      <c r="C216" s="74"/>
      <c r="D216" s="119">
        <f>1/(1+D215)^0.5</f>
        <v>0.99585919546393831</v>
      </c>
      <c r="E216" s="112">
        <f t="shared" ref="E216" si="563">D216/(1+E215)</f>
        <v>0.98762895417911245</v>
      </c>
      <c r="F216" s="112">
        <f t="shared" ref="F216" si="564">E216/(1+F215)</f>
        <v>0.97946673141730167</v>
      </c>
      <c r="G216" s="112">
        <f t="shared" ref="G216" si="565">F216/(1+G215)</f>
        <v>0.97137196504195211</v>
      </c>
      <c r="H216" s="112">
        <f t="shared" ref="H216" si="566">G216/(1+H215)</f>
        <v>0.96334409756226658</v>
      </c>
      <c r="I216" s="112">
        <f t="shared" ref="I216" si="567">H216/(1+I215)</f>
        <v>0.95538257609480981</v>
      </c>
      <c r="J216" s="112">
        <f t="shared" ref="J216" si="568">I216/(1+J215)</f>
        <v>0.94748685232543128</v>
      </c>
      <c r="K216" s="112">
        <f t="shared" ref="K216" si="569">J216/(1+K215)</f>
        <v>0.93965638247150207</v>
      </c>
      <c r="L216" s="112">
        <f t="shared" ref="L216" si="570">K216/(1+L215)</f>
        <v>0.93189062724446492</v>
      </c>
      <c r="M216" s="112">
        <f t="shared" ref="M216" si="571">L216/(1+M215)</f>
        <v>0.92418905181269251</v>
      </c>
      <c r="N216" s="112">
        <f t="shared" ref="N216" si="572">M216/(1+N215)</f>
        <v>0.91655112576465381</v>
      </c>
      <c r="O216" s="112">
        <f t="shared" ref="O216" si="573">N216/(1+O215)</f>
        <v>0.90897632307238396</v>
      </c>
      <c r="P216" s="112">
        <f t="shared" ref="P216" si="574">O216/(1+P215)</f>
        <v>0.90146412205525683</v>
      </c>
      <c r="Q216" s="112">
        <f t="shared" ref="Q216" si="575">P216/(1+Q215)</f>
        <v>0.89401400534405639</v>
      </c>
      <c r="R216" s="112">
        <f t="shared" ref="R216" si="576">Q216/(1+R215)</f>
        <v>0.88662545984534524</v>
      </c>
      <c r="S216" s="112">
        <f t="shared" ref="S216" si="577">R216/(1+S215)</f>
        <v>0.87929797670612753</v>
      </c>
      <c r="T216" s="112">
        <f t="shared" ref="T216" si="578">S216/(1+T215)</f>
        <v>0.8720310512788042</v>
      </c>
      <c r="U216" s="112">
        <f t="shared" ref="U216" si="579">T216/(1+U215)</f>
        <v>0.8648241830864174</v>
      </c>
      <c r="V216" s="112">
        <f t="shared" ref="V216" si="580">U216/(1+V215)</f>
        <v>0.85767687578818252</v>
      </c>
      <c r="W216" s="112">
        <f t="shared" ref="W216" si="581">V216/(1+W215)</f>
        <v>0.85058863714530497</v>
      </c>
      <c r="X216" s="112">
        <f t="shared" ref="X216" si="582">W216/(1+X215)</f>
        <v>0.84355897898707932</v>
      </c>
      <c r="Y216" s="112">
        <f t="shared" ref="Y216" si="583">X216/(1+Y215)</f>
        <v>0.83658741717726881</v>
      </c>
      <c r="Z216" s="112">
        <f t="shared" ref="Z216" si="584">Y216/(1+Z215)</f>
        <v>0.82967347158076243</v>
      </c>
      <c r="AA216" s="112">
        <f t="shared" ref="AA216" si="585">Z216/(1+AA215)</f>
        <v>0.82281666603050818</v>
      </c>
      <c r="AB216" s="112">
        <f t="shared" ref="AB216" si="586">AA216/(1+AB215)</f>
        <v>0.81601652829471893</v>
      </c>
      <c r="AC216" s="112">
        <f t="shared" ref="AC216" si="587">AB216/(1+AC215)</f>
        <v>0.80927259004434937</v>
      </c>
      <c r="AD216" s="112">
        <f t="shared" ref="AD216" si="588">AC216/(1+AD215)</f>
        <v>0.80258438682084232</v>
      </c>
      <c r="AE216" s="112">
        <f t="shared" ref="AE216" si="589">AD216/(1+AE215)</f>
        <v>0.79595145800414113</v>
      </c>
      <c r="AF216" s="112">
        <f t="shared" ref="AF216" si="590">AE216/(1+AF215)</f>
        <v>0.78937334678096649</v>
      </c>
      <c r="AG216" s="112">
        <f t="shared" ref="AG216" si="591">AF216/(1+AG215)</f>
        <v>0.78284960011335525</v>
      </c>
      <c r="AH216" s="112">
        <f t="shared" ref="AH216" si="592">AG216/(1+AH215)</f>
        <v>0.77637976870745973</v>
      </c>
      <c r="AI216" s="112">
        <f t="shared" ref="AI216" si="593">AH216/(1+AI215)</f>
        <v>0.76996340698260468</v>
      </c>
      <c r="AJ216" s="112">
        <f t="shared" ref="AJ216" si="594">AI216/(1+AJ215)</f>
        <v>0.76360007304059974</v>
      </c>
      <c r="AK216" s="112">
        <f t="shared" ref="AK216" si="595">AJ216/(1+AK215)</f>
        <v>0.75728932863530551</v>
      </c>
      <c r="AL216" s="112">
        <f t="shared" ref="AL216" si="596">AK216/(1+AL215)</f>
        <v>0.75103073914245178</v>
      </c>
      <c r="AM216" s="112">
        <f t="shared" ref="AM216" si="597">AL216/(1+AM215)</f>
        <v>0.74482387352970425</v>
      </c>
      <c r="AN216" s="112">
        <f t="shared" ref="AN216" si="598">AM216/(1+AN215)</f>
        <v>0.7386683043269795</v>
      </c>
      <c r="AO216" s="112">
        <f t="shared" ref="AO216" si="599">AN216/(1+AO215)</f>
        <v>0.73256360759700445</v>
      </c>
      <c r="AP216" s="112">
        <f t="shared" ref="AP216" si="600">AO216/(1+AP215)</f>
        <v>0.72650936290612012</v>
      </c>
      <c r="AQ216" s="112">
        <f t="shared" ref="AQ216" si="601">AP216/(1+AQ215)</f>
        <v>0.72050515329532572</v>
      </c>
      <c r="AR216" s="112">
        <f t="shared" ref="AR216" si="602">AQ216/(1+AR215)</f>
        <v>0.71455056525156269</v>
      </c>
      <c r="AS216" s="112">
        <f t="shared" ref="AS216" si="603">AR216/(1+AS215)</f>
        <v>0.70864518867923576</v>
      </c>
      <c r="AT216" s="112">
        <f t="shared" ref="AT216" si="604">AS216/(1+AT215)</f>
        <v>0.70278861687196936</v>
      </c>
      <c r="AU216" s="112">
        <f t="shared" ref="AU216" si="605">AT216/(1+AU215)</f>
        <v>0.69698044648459778</v>
      </c>
      <c r="AV216" s="112">
        <f t="shared" ref="AV216" si="606">AU216/(1+AV215)</f>
        <v>0.69122027750538628</v>
      </c>
      <c r="AW216" s="112">
        <f t="shared" ref="AW216" si="607">AV216/(1+AW215)</f>
        <v>0.68550771322848225</v>
      </c>
      <c r="AX216" s="112">
        <f t="shared" ref="AX216" si="608">AW216/(1+AX215)</f>
        <v>0.67984236022659394</v>
      </c>
      <c r="AY216" s="112">
        <f t="shared" ref="AY216" si="609">AX216/(1+AY215)</f>
        <v>0.67422382832389482</v>
      </c>
    </row>
    <row r="217" spans="1:51" s="13" customFormat="1" ht="12.75" x14ac:dyDescent="0.2">
      <c r="A217" s="15"/>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row>
    <row r="218" spans="1:51" s="109" customFormat="1" ht="13.5" thickBot="1" x14ac:dyDescent="0.25">
      <c r="A218" s="110" t="s">
        <v>27</v>
      </c>
      <c r="B218" s="109" t="s">
        <v>56</v>
      </c>
      <c r="C218" s="87">
        <f>SUM(D218:AY218)</f>
        <v>27046.594000093057</v>
      </c>
      <c r="D218" s="87">
        <f t="shared" ref="D218:AY218" si="610">D210*D216</f>
        <v>-1095.4451150103321</v>
      </c>
      <c r="E218" s="87">
        <f t="shared" si="610"/>
        <v>-5575.6143685929892</v>
      </c>
      <c r="F218" s="87">
        <f t="shared" si="610"/>
        <v>-9091.2321161551372</v>
      </c>
      <c r="G218" s="87">
        <f t="shared" si="610"/>
        <v>-12548.35965749649</v>
      </c>
      <c r="H218" s="87">
        <f t="shared" si="610"/>
        <v>-6314.2826758399469</v>
      </c>
      <c r="I218" s="87">
        <f t="shared" si="610"/>
        <v>-26064.573735095673</v>
      </c>
      <c r="J218" s="87">
        <f t="shared" si="610"/>
        <v>1048.2649993454995</v>
      </c>
      <c r="K218" s="87">
        <f t="shared" si="610"/>
        <v>392.69094456559054</v>
      </c>
      <c r="L218" s="87">
        <f t="shared" si="610"/>
        <v>615.61542009066841</v>
      </c>
      <c r="M218" s="87">
        <f t="shared" si="610"/>
        <v>857.25844050855221</v>
      </c>
      <c r="N218" s="87">
        <f t="shared" si="610"/>
        <v>1119.3344794584089</v>
      </c>
      <c r="O218" s="87">
        <f t="shared" si="610"/>
        <v>1257.6651542619368</v>
      </c>
      <c r="P218" s="87">
        <f t="shared" si="610"/>
        <v>1249.3323388362287</v>
      </c>
      <c r="Q218" s="87">
        <f t="shared" si="610"/>
        <v>1501.8132769697568</v>
      </c>
      <c r="R218" s="87">
        <f t="shared" si="610"/>
        <v>2129.775809678481</v>
      </c>
      <c r="S218" s="87">
        <f t="shared" si="610"/>
        <v>2112.8561701693206</v>
      </c>
      <c r="T218" s="87">
        <f t="shared" si="610"/>
        <v>2096.0566405146005</v>
      </c>
      <c r="U218" s="87">
        <f t="shared" si="610"/>
        <v>2079.3767985384129</v>
      </c>
      <c r="V218" s="87">
        <f t="shared" si="610"/>
        <v>2062.8162090527826</v>
      </c>
      <c r="W218" s="87">
        <f t="shared" si="610"/>
        <v>2046.3744244425052</v>
      </c>
      <c r="X218" s="87">
        <f t="shared" si="610"/>
        <v>2030.0509852313539</v>
      </c>
      <c r="Y218" s="87">
        <f t="shared" si="610"/>
        <v>2013.8454206301963</v>
      </c>
      <c r="Z218" s="87">
        <f t="shared" si="610"/>
        <v>1997.757249067562</v>
      </c>
      <c r="AA218" s="87">
        <f t="shared" si="610"/>
        <v>1981.785978703183</v>
      </c>
      <c r="AB218" s="87">
        <f t="shared" si="610"/>
        <v>1965.9311079250119</v>
      </c>
      <c r="AC218" s="87">
        <f t="shared" si="610"/>
        <v>1950.1921258302129</v>
      </c>
      <c r="AD218" s="87">
        <f t="shared" si="610"/>
        <v>1934.5685126905996</v>
      </c>
      <c r="AE218" s="87">
        <f t="shared" si="610"/>
        <v>1919.059740402985</v>
      </c>
      <c r="AF218" s="87">
        <f t="shared" si="610"/>
        <v>1903.6652729248913</v>
      </c>
      <c r="AG218" s="87">
        <f t="shared" si="610"/>
        <v>1888.3845666960567</v>
      </c>
      <c r="AH218" s="87">
        <f t="shared" si="610"/>
        <v>1873.2170710461701</v>
      </c>
      <c r="AI218" s="87">
        <f t="shared" si="610"/>
        <v>1858.1622285892295</v>
      </c>
      <c r="AJ218" s="87">
        <f t="shared" si="610"/>
        <v>1843.2194756049437</v>
      </c>
      <c r="AK218" s="87">
        <f t="shared" si="610"/>
        <v>1828.3882424075503</v>
      </c>
      <c r="AL218" s="87">
        <f t="shared" si="610"/>
        <v>1813.6679537024281</v>
      </c>
      <c r="AM218" s="87">
        <f t="shared" si="610"/>
        <v>1799.0580289308846</v>
      </c>
      <c r="AN218" s="87">
        <f t="shared" si="610"/>
        <v>1784.5578826034473</v>
      </c>
      <c r="AO218" s="87">
        <f t="shared" si="610"/>
        <v>1770.1669246220256</v>
      </c>
      <c r="AP218" s="87">
        <f t="shared" si="610"/>
        <v>1755.8845605912745</v>
      </c>
      <c r="AQ218" s="87">
        <f t="shared" si="610"/>
        <v>1741.7101921194728</v>
      </c>
      <c r="AR218" s="87">
        <f t="shared" si="610"/>
        <v>1727.6432171092399</v>
      </c>
      <c r="AS218" s="87">
        <f t="shared" si="610"/>
        <v>1713.6830300383992</v>
      </c>
      <c r="AT218" s="87">
        <f t="shared" si="610"/>
        <v>1699.8290222312844</v>
      </c>
      <c r="AU218" s="87">
        <f t="shared" si="610"/>
        <v>1686.0805821207623</v>
      </c>
      <c r="AV218" s="87">
        <f t="shared" si="610"/>
        <v>1672.4370955012851</v>
      </c>
      <c r="AW218" s="87">
        <f t="shared" si="610"/>
        <v>1658.8979457732</v>
      </c>
      <c r="AX218" s="87">
        <f t="shared" si="610"/>
        <v>2275.4111405817698</v>
      </c>
      <c r="AY218" s="87">
        <f t="shared" si="610"/>
        <v>17079.615008175468</v>
      </c>
    </row>
    <row r="219" spans="1:51" s="109" customFormat="1" ht="13.5" thickBot="1" x14ac:dyDescent="0.25">
      <c r="A219" s="109" t="s">
        <v>28</v>
      </c>
      <c r="B219" s="109" t="s">
        <v>56</v>
      </c>
      <c r="C219" s="105"/>
      <c r="D219" s="120">
        <f>D218</f>
        <v>-1095.4451150103321</v>
      </c>
      <c r="E219" s="105">
        <f t="shared" ref="E219:V219" si="611">D219+E218</f>
        <v>-6671.0594836033215</v>
      </c>
      <c r="F219" s="105">
        <f t="shared" si="611"/>
        <v>-15762.291599758459</v>
      </c>
      <c r="G219" s="105">
        <f t="shared" si="611"/>
        <v>-28310.651257254947</v>
      </c>
      <c r="H219" s="105">
        <f t="shared" si="611"/>
        <v>-34624.933933094893</v>
      </c>
      <c r="I219" s="105">
        <f t="shared" si="611"/>
        <v>-60689.507668190563</v>
      </c>
      <c r="J219" s="105">
        <f t="shared" si="611"/>
        <v>-59641.242668845065</v>
      </c>
      <c r="K219" s="105">
        <f t="shared" si="611"/>
        <v>-59248.551724279474</v>
      </c>
      <c r="L219" s="105">
        <f t="shared" si="611"/>
        <v>-58632.936304188806</v>
      </c>
      <c r="M219" s="105">
        <f t="shared" si="611"/>
        <v>-57775.677863680256</v>
      </c>
      <c r="N219" s="105">
        <f t="shared" si="611"/>
        <v>-56656.343384221844</v>
      </c>
      <c r="O219" s="105">
        <f t="shared" si="611"/>
        <v>-55398.678229959907</v>
      </c>
      <c r="P219" s="105">
        <f t="shared" si="611"/>
        <v>-54149.345891123681</v>
      </c>
      <c r="Q219" s="105">
        <f t="shared" si="611"/>
        <v>-52647.532614153926</v>
      </c>
      <c r="R219" s="105">
        <f t="shared" si="611"/>
        <v>-50517.756804475444</v>
      </c>
      <c r="S219" s="105">
        <f t="shared" si="611"/>
        <v>-48404.900634306126</v>
      </c>
      <c r="T219" s="105">
        <f t="shared" si="611"/>
        <v>-46308.843993791525</v>
      </c>
      <c r="U219" s="105">
        <f t="shared" si="611"/>
        <v>-44229.467195253113</v>
      </c>
      <c r="V219" s="105">
        <f t="shared" si="611"/>
        <v>-42166.650986200329</v>
      </c>
      <c r="W219" s="105">
        <f t="shared" ref="W219" si="612">V219+W218</f>
        <v>-40120.276561757826</v>
      </c>
      <c r="X219" s="105">
        <f t="shared" ref="X219" si="613">W219+X218</f>
        <v>-38090.225576526471</v>
      </c>
      <c r="Y219" s="105">
        <f t="shared" ref="Y219" si="614">X219+Y218</f>
        <v>-36076.380155896273</v>
      </c>
      <c r="Z219" s="105">
        <f t="shared" ref="Z219" si="615">Y219+Z218</f>
        <v>-34078.622906828714</v>
      </c>
      <c r="AA219" s="105">
        <f t="shared" ref="AA219" si="616">Z219+AA218</f>
        <v>-32096.836928125529</v>
      </c>
      <c r="AB219" s="105">
        <f t="shared" ref="AB219" si="617">AA219+AB218</f>
        <v>-30130.905820200518</v>
      </c>
      <c r="AC219" s="105">
        <f t="shared" ref="AC219" si="618">AB219+AC218</f>
        <v>-28180.713694370304</v>
      </c>
      <c r="AD219" s="105">
        <f t="shared" ref="AD219" si="619">AC219+AD218</f>
        <v>-26246.145181679705</v>
      </c>
      <c r="AE219" s="105">
        <f t="shared" ref="AE219" si="620">AD219+AE218</f>
        <v>-24327.085441276722</v>
      </c>
      <c r="AF219" s="105">
        <f t="shared" ref="AF219" si="621">AE219+AF218</f>
        <v>-22423.420168351829</v>
      </c>
      <c r="AG219" s="105">
        <f t="shared" ref="AG219" si="622">AF219+AG218</f>
        <v>-20535.035601655774</v>
      </c>
      <c r="AH219" s="105">
        <f t="shared" ref="AH219" si="623">AG219+AH218</f>
        <v>-18661.818530609606</v>
      </c>
      <c r="AI219" s="105">
        <f t="shared" ref="AI219" si="624">AH219+AI218</f>
        <v>-16803.656302020376</v>
      </c>
      <c r="AJ219" s="105">
        <f t="shared" ref="AJ219" si="625">AI219+AJ218</f>
        <v>-14960.436826415433</v>
      </c>
      <c r="AK219" s="105">
        <f t="shared" ref="AK219" si="626">AJ219+AK218</f>
        <v>-13132.048584007882</v>
      </c>
      <c r="AL219" s="105">
        <f t="shared" ref="AL219" si="627">AK219+AL218</f>
        <v>-11318.380630305453</v>
      </c>
      <c r="AM219" s="105">
        <f t="shared" ref="AM219" si="628">AL219+AM218</f>
        <v>-9519.3226013745698</v>
      </c>
      <c r="AN219" s="105">
        <f t="shared" ref="AN219" si="629">AM219+AN218</f>
        <v>-7734.7647187711227</v>
      </c>
      <c r="AO219" s="105">
        <f t="shared" ref="AO219" si="630">AN219+AO218</f>
        <v>-5964.5977941490974</v>
      </c>
      <c r="AP219" s="105">
        <f t="shared" ref="AP219" si="631">AO219+AP218</f>
        <v>-4208.7132335578226</v>
      </c>
      <c r="AQ219" s="105">
        <f t="shared" ref="AQ219" si="632">AP219+AQ218</f>
        <v>-2467.00304143835</v>
      </c>
      <c r="AR219" s="105">
        <f t="shared" ref="AR219" si="633">AQ219+AR218</f>
        <v>-739.3598243291101</v>
      </c>
      <c r="AS219" s="105">
        <f t="shared" ref="AS219" si="634">AR219+AS218</f>
        <v>974.32320570928914</v>
      </c>
      <c r="AT219" s="105">
        <f t="shared" ref="AT219" si="635">AS219+AT218</f>
        <v>2674.1522279405735</v>
      </c>
      <c r="AU219" s="105">
        <f t="shared" ref="AU219" si="636">AT219+AU218</f>
        <v>4360.2328100613358</v>
      </c>
      <c r="AV219" s="105">
        <f t="shared" ref="AV219" si="637">AU219+AV218</f>
        <v>6032.6699055626214</v>
      </c>
      <c r="AW219" s="105">
        <f t="shared" ref="AW219" si="638">AV219+AW218</f>
        <v>7691.5678513358216</v>
      </c>
      <c r="AX219" s="105">
        <f t="shared" ref="AX219" si="639">AW219+AX218</f>
        <v>9966.978991917591</v>
      </c>
      <c r="AY219" s="105">
        <f t="shared" ref="AY219" si="640">AX219+AY218</f>
        <v>27046.594000093057</v>
      </c>
    </row>
    <row r="220" spans="1:51" s="109" customFormat="1" ht="23.25" x14ac:dyDescent="0.35">
      <c r="A220" s="124" t="s">
        <v>207</v>
      </c>
      <c r="B220" s="109" t="s">
        <v>56</v>
      </c>
      <c r="C220" s="5">
        <f>SUM(D218:AY218)</f>
        <v>27046.594000093057</v>
      </c>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row>
    <row r="221" spans="1:51" s="67" customFormat="1" ht="14.25" customHeight="1" x14ac:dyDescent="0.2">
      <c r="A221" s="67" t="str">
        <f t="shared" ref="A221:AF221" si="641">A$97</f>
        <v>Months --&gt;</v>
      </c>
      <c r="B221" s="67" t="str">
        <f t="shared" si="641"/>
        <v>units</v>
      </c>
      <c r="C221" s="67" t="str">
        <f t="shared" si="641"/>
        <v>Total</v>
      </c>
      <c r="D221" s="90">
        <f t="shared" si="641"/>
        <v>43922</v>
      </c>
      <c r="E221" s="90">
        <f t="shared" si="641"/>
        <v>43952</v>
      </c>
      <c r="F221" s="90">
        <f t="shared" si="641"/>
        <v>43983</v>
      </c>
      <c r="G221" s="90">
        <f t="shared" si="641"/>
        <v>44013</v>
      </c>
      <c r="H221" s="90">
        <f t="shared" si="641"/>
        <v>44044</v>
      </c>
      <c r="I221" s="90">
        <f t="shared" si="641"/>
        <v>44075</v>
      </c>
      <c r="J221" s="90">
        <f t="shared" si="641"/>
        <v>44105</v>
      </c>
      <c r="K221" s="90">
        <f t="shared" si="641"/>
        <v>44136</v>
      </c>
      <c r="L221" s="90">
        <f t="shared" si="641"/>
        <v>44166</v>
      </c>
      <c r="M221" s="90">
        <f t="shared" si="641"/>
        <v>44197</v>
      </c>
      <c r="N221" s="90">
        <f t="shared" si="641"/>
        <v>44228</v>
      </c>
      <c r="O221" s="90">
        <f t="shared" si="641"/>
        <v>44256</v>
      </c>
      <c r="P221" s="90">
        <f t="shared" si="641"/>
        <v>44287</v>
      </c>
      <c r="Q221" s="90">
        <f t="shared" si="641"/>
        <v>44317</v>
      </c>
      <c r="R221" s="90">
        <f t="shared" si="641"/>
        <v>44348</v>
      </c>
      <c r="S221" s="90">
        <f t="shared" si="641"/>
        <v>44378</v>
      </c>
      <c r="T221" s="90">
        <f t="shared" si="641"/>
        <v>44409</v>
      </c>
      <c r="U221" s="90">
        <f t="shared" si="641"/>
        <v>44440</v>
      </c>
      <c r="V221" s="90">
        <f t="shared" si="641"/>
        <v>44470</v>
      </c>
      <c r="W221" s="90">
        <f t="shared" si="641"/>
        <v>44501</v>
      </c>
      <c r="X221" s="90">
        <f t="shared" si="641"/>
        <v>44531</v>
      </c>
      <c r="Y221" s="90">
        <f t="shared" si="641"/>
        <v>44562</v>
      </c>
      <c r="Z221" s="90">
        <f t="shared" si="641"/>
        <v>44593</v>
      </c>
      <c r="AA221" s="90">
        <f t="shared" si="641"/>
        <v>44621</v>
      </c>
      <c r="AB221" s="90">
        <f t="shared" si="641"/>
        <v>44652</v>
      </c>
      <c r="AC221" s="90">
        <f t="shared" si="641"/>
        <v>44682</v>
      </c>
      <c r="AD221" s="90">
        <f t="shared" si="641"/>
        <v>44713</v>
      </c>
      <c r="AE221" s="90">
        <f t="shared" si="641"/>
        <v>44743</v>
      </c>
      <c r="AF221" s="90">
        <f t="shared" si="641"/>
        <v>44774</v>
      </c>
      <c r="AG221" s="90">
        <f t="shared" ref="AG221:AY221" si="642">AG$97</f>
        <v>44805</v>
      </c>
      <c r="AH221" s="90">
        <f t="shared" si="642"/>
        <v>44835</v>
      </c>
      <c r="AI221" s="90">
        <f t="shared" si="642"/>
        <v>44866</v>
      </c>
      <c r="AJ221" s="90">
        <f t="shared" si="642"/>
        <v>44896</v>
      </c>
      <c r="AK221" s="90">
        <f t="shared" si="642"/>
        <v>44927</v>
      </c>
      <c r="AL221" s="90">
        <f t="shared" si="642"/>
        <v>44958</v>
      </c>
      <c r="AM221" s="90">
        <f t="shared" si="642"/>
        <v>44986</v>
      </c>
      <c r="AN221" s="90">
        <f t="shared" si="642"/>
        <v>45017</v>
      </c>
      <c r="AO221" s="90">
        <f t="shared" si="642"/>
        <v>45047</v>
      </c>
      <c r="AP221" s="90">
        <f t="shared" si="642"/>
        <v>45078</v>
      </c>
      <c r="AQ221" s="90">
        <f t="shared" si="642"/>
        <v>45108</v>
      </c>
      <c r="AR221" s="90">
        <f t="shared" si="642"/>
        <v>45139</v>
      </c>
      <c r="AS221" s="90">
        <f t="shared" si="642"/>
        <v>45170</v>
      </c>
      <c r="AT221" s="90">
        <f t="shared" si="642"/>
        <v>45200</v>
      </c>
      <c r="AU221" s="90">
        <f t="shared" si="642"/>
        <v>45231</v>
      </c>
      <c r="AV221" s="90">
        <f t="shared" si="642"/>
        <v>45261</v>
      </c>
      <c r="AW221" s="90">
        <f t="shared" si="642"/>
        <v>45292</v>
      </c>
      <c r="AX221" s="90">
        <f t="shared" si="642"/>
        <v>45323</v>
      </c>
      <c r="AY221" s="90">
        <f t="shared" si="642"/>
        <v>45352</v>
      </c>
    </row>
    <row r="222" spans="1:51" ht="205.5" customHeight="1" x14ac:dyDescent="0.25">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spans="1:51" ht="45" customHeight="1" x14ac:dyDescent="0.25">
      <c r="A223" s="35" t="s">
        <v>16</v>
      </c>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spans="1:51" s="49" customFormat="1" ht="21.6" customHeight="1" x14ac:dyDescent="0.25">
      <c r="A224" s="49" t="str">
        <f>'business model (in Real terms)'!A$97</f>
        <v>Months --&gt;</v>
      </c>
      <c r="B224" s="34" t="str">
        <f>'business model (in Real terms)'!B$97</f>
        <v>units</v>
      </c>
      <c r="C224" s="62" t="str">
        <f>'business model (in Real terms)'!C$97</f>
        <v>Total</v>
      </c>
      <c r="D224" s="63">
        <f>'business model (in Real terms)'!D$97</f>
        <v>43922</v>
      </c>
      <c r="E224" s="63">
        <f>'business model (in Real terms)'!E$97</f>
        <v>43952</v>
      </c>
      <c r="F224" s="63">
        <f>'business model (in Real terms)'!F$97</f>
        <v>43983</v>
      </c>
      <c r="G224" s="63">
        <f>'business model (in Real terms)'!G$97</f>
        <v>44013</v>
      </c>
      <c r="H224" s="63">
        <f>'business model (in Real terms)'!H$97</f>
        <v>44044</v>
      </c>
      <c r="I224" s="63">
        <f>'business model (in Real terms)'!I$97</f>
        <v>44075</v>
      </c>
      <c r="J224" s="63">
        <f>'business model (in Real terms)'!J$97</f>
        <v>44105</v>
      </c>
      <c r="K224" s="63">
        <f>'business model (in Real terms)'!K$97</f>
        <v>44136</v>
      </c>
      <c r="L224" s="63">
        <f>'business model (in Real terms)'!L$97</f>
        <v>44166</v>
      </c>
      <c r="M224" s="63">
        <f>'business model (in Real terms)'!M$97</f>
        <v>44197</v>
      </c>
      <c r="N224" s="63">
        <f>'business model (in Real terms)'!N$97</f>
        <v>44228</v>
      </c>
      <c r="O224" s="63">
        <f>'business model (in Real terms)'!O$97</f>
        <v>44256</v>
      </c>
      <c r="P224" s="63">
        <f>'business model (in Real terms)'!P$97</f>
        <v>44287</v>
      </c>
      <c r="Q224" s="63">
        <f>'business model (in Real terms)'!Q$97</f>
        <v>44317</v>
      </c>
      <c r="R224" s="63">
        <f>'business model (in Real terms)'!R$97</f>
        <v>44348</v>
      </c>
      <c r="S224" s="63">
        <f>'business model (in Real terms)'!S$97</f>
        <v>44378</v>
      </c>
      <c r="T224" s="63">
        <f>'business model (in Real terms)'!T$97</f>
        <v>44409</v>
      </c>
      <c r="U224" s="63">
        <f>'business model (in Real terms)'!U$97</f>
        <v>44440</v>
      </c>
      <c r="V224" s="63">
        <f>'business model (in Real terms)'!V$97</f>
        <v>44470</v>
      </c>
      <c r="W224" s="63">
        <f>'business model (in Real terms)'!W$97</f>
        <v>44501</v>
      </c>
      <c r="X224" s="63">
        <f>'business model (in Real terms)'!X$97</f>
        <v>44531</v>
      </c>
      <c r="Y224" s="63">
        <f>'business model (in Real terms)'!Y$97</f>
        <v>44562</v>
      </c>
      <c r="Z224" s="63">
        <f>'business model (in Real terms)'!Z$97</f>
        <v>44593</v>
      </c>
      <c r="AA224" s="63">
        <f>'business model (in Real terms)'!AA$97</f>
        <v>44621</v>
      </c>
      <c r="AB224" s="63">
        <f>'business model (in Real terms)'!AB$97</f>
        <v>44652</v>
      </c>
      <c r="AC224" s="63">
        <f>'business model (in Real terms)'!AC$97</f>
        <v>44682</v>
      </c>
      <c r="AD224" s="63">
        <f>'business model (in Real terms)'!AD$97</f>
        <v>44713</v>
      </c>
      <c r="AE224" s="63">
        <f>'business model (in Real terms)'!AE$97</f>
        <v>44743</v>
      </c>
      <c r="AF224" s="63">
        <f>'business model (in Real terms)'!AF$97</f>
        <v>44774</v>
      </c>
      <c r="AG224" s="63">
        <f>'business model (in Real terms)'!AG$97</f>
        <v>44805</v>
      </c>
      <c r="AH224" s="63">
        <f>'business model (in Real terms)'!AH$97</f>
        <v>44835</v>
      </c>
      <c r="AI224" s="63">
        <f>'business model (in Real terms)'!AI$97</f>
        <v>44866</v>
      </c>
      <c r="AJ224" s="63">
        <f>'business model (in Real terms)'!AJ$97</f>
        <v>44896</v>
      </c>
      <c r="AK224" s="63">
        <f>'business model (in Real terms)'!AK$97</f>
        <v>44927</v>
      </c>
      <c r="AL224" s="63">
        <f>'business model (in Real terms)'!AL$97</f>
        <v>44958</v>
      </c>
      <c r="AM224" s="63">
        <f>'business model (in Real terms)'!AM$97</f>
        <v>44986</v>
      </c>
      <c r="AN224" s="63">
        <f>'business model (in Real terms)'!AN$97</f>
        <v>45017</v>
      </c>
      <c r="AO224" s="63">
        <f>'business model (in Real terms)'!AO$97</f>
        <v>45047</v>
      </c>
      <c r="AP224" s="63">
        <f>'business model (in Real terms)'!AP$97</f>
        <v>45078</v>
      </c>
      <c r="AQ224" s="63">
        <f>'business model (in Real terms)'!AQ$97</f>
        <v>45108</v>
      </c>
      <c r="AR224" s="63">
        <f>'business model (in Real terms)'!AR$97</f>
        <v>45139</v>
      </c>
      <c r="AS224" s="63">
        <f>'business model (in Real terms)'!AS$97</f>
        <v>45170</v>
      </c>
      <c r="AT224" s="63">
        <f>'business model (in Real terms)'!AT$97</f>
        <v>45200</v>
      </c>
      <c r="AU224" s="63">
        <f>'business model (in Real terms)'!AU$97</f>
        <v>45231</v>
      </c>
      <c r="AV224" s="63">
        <f>'business model (in Real terms)'!AV$97</f>
        <v>45261</v>
      </c>
      <c r="AW224" s="63">
        <f>'business model (in Real terms)'!AW$97</f>
        <v>45292</v>
      </c>
      <c r="AX224" s="63">
        <f>'business model (in Real terms)'!AX$97</f>
        <v>45323</v>
      </c>
      <c r="AY224" s="63">
        <f>'business model (in Real terms)'!AY$97</f>
        <v>45352</v>
      </c>
    </row>
    <row r="225" spans="1:51" x14ac:dyDescent="0.25">
      <c r="A225" s="17" t="str">
        <f>A111</f>
        <v>Cashstream 1: Revenue</v>
      </c>
      <c r="D225" s="18">
        <f t="shared" ref="D225:AY225" si="643">D111</f>
        <v>0</v>
      </c>
      <c r="E225" s="18">
        <f t="shared" si="643"/>
        <v>0</v>
      </c>
      <c r="F225" s="18">
        <f t="shared" si="643"/>
        <v>0</v>
      </c>
      <c r="G225" s="18">
        <f t="shared" si="643"/>
        <v>0</v>
      </c>
      <c r="H225" s="18">
        <f t="shared" si="643"/>
        <v>0</v>
      </c>
      <c r="I225" s="18">
        <f t="shared" si="643"/>
        <v>0</v>
      </c>
      <c r="J225" s="18">
        <f t="shared" si="643"/>
        <v>6600</v>
      </c>
      <c r="K225" s="18">
        <f t="shared" si="643"/>
        <v>7260</v>
      </c>
      <c r="L225" s="18">
        <f t="shared" si="643"/>
        <v>7986</v>
      </c>
      <c r="M225" s="18">
        <f t="shared" si="643"/>
        <v>8784.6</v>
      </c>
      <c r="N225" s="18">
        <f t="shared" si="643"/>
        <v>9663.06</v>
      </c>
      <c r="O225" s="18">
        <f t="shared" si="643"/>
        <v>10629.366</v>
      </c>
      <c r="P225" s="18">
        <f t="shared" si="643"/>
        <v>11692.302600000003</v>
      </c>
      <c r="Q225" s="18">
        <f t="shared" si="643"/>
        <v>12861.532860000003</v>
      </c>
      <c r="R225" s="18">
        <f t="shared" si="643"/>
        <v>14147.686146000004</v>
      </c>
      <c r="S225" s="18">
        <f t="shared" si="643"/>
        <v>14147.686146000004</v>
      </c>
      <c r="T225" s="18">
        <f t="shared" si="643"/>
        <v>14147.686146000004</v>
      </c>
      <c r="U225" s="18">
        <f t="shared" si="643"/>
        <v>14147.686146000004</v>
      </c>
      <c r="V225" s="18">
        <f t="shared" si="643"/>
        <v>14147.686146000004</v>
      </c>
      <c r="W225" s="18">
        <f t="shared" si="643"/>
        <v>14147.686146000004</v>
      </c>
      <c r="X225" s="18">
        <f t="shared" si="643"/>
        <v>14147.686146000004</v>
      </c>
      <c r="Y225" s="18">
        <f t="shared" si="643"/>
        <v>14147.686146000004</v>
      </c>
      <c r="Z225" s="18">
        <f t="shared" si="643"/>
        <v>14147.686146000004</v>
      </c>
      <c r="AA225" s="18">
        <f t="shared" si="643"/>
        <v>14147.686146000004</v>
      </c>
      <c r="AB225" s="18">
        <f t="shared" si="643"/>
        <v>14147.686146000004</v>
      </c>
      <c r="AC225" s="18">
        <f t="shared" si="643"/>
        <v>14147.686146000004</v>
      </c>
      <c r="AD225" s="18">
        <f t="shared" si="643"/>
        <v>14147.686146000004</v>
      </c>
      <c r="AE225" s="18">
        <f t="shared" si="643"/>
        <v>14147.686146000004</v>
      </c>
      <c r="AF225" s="18">
        <f t="shared" si="643"/>
        <v>14147.686146000004</v>
      </c>
      <c r="AG225" s="18">
        <f t="shared" si="643"/>
        <v>14147.686146000004</v>
      </c>
      <c r="AH225" s="18">
        <f t="shared" si="643"/>
        <v>14147.686146000004</v>
      </c>
      <c r="AI225" s="18">
        <f t="shared" si="643"/>
        <v>14147.686146000004</v>
      </c>
      <c r="AJ225" s="18">
        <f t="shared" si="643"/>
        <v>14147.686146000004</v>
      </c>
      <c r="AK225" s="18">
        <f t="shared" si="643"/>
        <v>14147.686146000004</v>
      </c>
      <c r="AL225" s="18">
        <f t="shared" si="643"/>
        <v>14147.686146000004</v>
      </c>
      <c r="AM225" s="18">
        <f t="shared" si="643"/>
        <v>14147.686146000004</v>
      </c>
      <c r="AN225" s="18">
        <f t="shared" si="643"/>
        <v>14147.686146000004</v>
      </c>
      <c r="AO225" s="18">
        <f t="shared" si="643"/>
        <v>14147.686146000004</v>
      </c>
      <c r="AP225" s="18">
        <f t="shared" si="643"/>
        <v>14147.686146000004</v>
      </c>
      <c r="AQ225" s="18">
        <f t="shared" si="643"/>
        <v>14147.686146000004</v>
      </c>
      <c r="AR225" s="18">
        <f t="shared" si="643"/>
        <v>14147.686146000004</v>
      </c>
      <c r="AS225" s="18">
        <f t="shared" si="643"/>
        <v>14147.686146000004</v>
      </c>
      <c r="AT225" s="18">
        <f t="shared" si="643"/>
        <v>14147.686146000004</v>
      </c>
      <c r="AU225" s="18">
        <f t="shared" si="643"/>
        <v>14147.686146000004</v>
      </c>
      <c r="AV225" s="18">
        <f t="shared" si="643"/>
        <v>14147.686146000004</v>
      </c>
      <c r="AW225" s="18">
        <f t="shared" si="643"/>
        <v>14147.686146000004</v>
      </c>
      <c r="AX225" s="18">
        <f t="shared" si="643"/>
        <v>14147.686146000004</v>
      </c>
      <c r="AY225" s="18">
        <f t="shared" si="643"/>
        <v>14147.686146000004</v>
      </c>
    </row>
    <row r="226" spans="1:51" x14ac:dyDescent="0.25">
      <c r="A226" s="17" t="str">
        <f>A122</f>
        <v>Cashstream 2: Capital Costs</v>
      </c>
      <c r="D226" s="18">
        <f t="shared" ref="D226:AY226" si="644">-D122</f>
        <v>0</v>
      </c>
      <c r="E226" s="18">
        <f t="shared" si="644"/>
        <v>-5000</v>
      </c>
      <c r="F226" s="18">
        <f t="shared" si="644"/>
        <v>-9000</v>
      </c>
      <c r="G226" s="18">
        <f t="shared" si="644"/>
        <v>-13000</v>
      </c>
      <c r="H226" s="18">
        <f t="shared" si="644"/>
        <v>-6000</v>
      </c>
      <c r="I226" s="18">
        <f t="shared" si="644"/>
        <v>-9000</v>
      </c>
      <c r="J226" s="18">
        <f t="shared" si="644"/>
        <v>0</v>
      </c>
      <c r="K226" s="18">
        <f t="shared" si="644"/>
        <v>-1000</v>
      </c>
      <c r="L226" s="18">
        <f t="shared" si="644"/>
        <v>-1000</v>
      </c>
      <c r="M226" s="18">
        <f t="shared" si="644"/>
        <v>-1000</v>
      </c>
      <c r="N226" s="18">
        <f t="shared" si="644"/>
        <v>-1000</v>
      </c>
      <c r="O226" s="18">
        <f t="shared" si="644"/>
        <v>-1000</v>
      </c>
      <c r="P226" s="18">
        <f t="shared" si="644"/>
        <v>-1000</v>
      </c>
      <c r="Q226" s="18">
        <f t="shared" si="644"/>
        <v>-1000</v>
      </c>
      <c r="R226" s="18">
        <f t="shared" si="644"/>
        <v>-1000</v>
      </c>
      <c r="S226" s="18">
        <f t="shared" si="644"/>
        <v>-1000</v>
      </c>
      <c r="T226" s="18">
        <f t="shared" si="644"/>
        <v>-1000</v>
      </c>
      <c r="U226" s="18">
        <f t="shared" si="644"/>
        <v>-1000</v>
      </c>
      <c r="V226" s="18">
        <f t="shared" si="644"/>
        <v>-1000</v>
      </c>
      <c r="W226" s="18">
        <f t="shared" si="644"/>
        <v>-1000</v>
      </c>
      <c r="X226" s="18">
        <f t="shared" si="644"/>
        <v>-1000</v>
      </c>
      <c r="Y226" s="18">
        <f t="shared" si="644"/>
        <v>-1000</v>
      </c>
      <c r="Z226" s="18">
        <f t="shared" si="644"/>
        <v>-1000</v>
      </c>
      <c r="AA226" s="18">
        <f t="shared" si="644"/>
        <v>-1000</v>
      </c>
      <c r="AB226" s="18">
        <f t="shared" si="644"/>
        <v>-1000</v>
      </c>
      <c r="AC226" s="18">
        <f t="shared" si="644"/>
        <v>-1000</v>
      </c>
      <c r="AD226" s="18">
        <f t="shared" si="644"/>
        <v>-1000</v>
      </c>
      <c r="AE226" s="18">
        <f t="shared" si="644"/>
        <v>-1000</v>
      </c>
      <c r="AF226" s="18">
        <f t="shared" si="644"/>
        <v>-1000</v>
      </c>
      <c r="AG226" s="18">
        <f t="shared" si="644"/>
        <v>-1000</v>
      </c>
      <c r="AH226" s="18">
        <f t="shared" si="644"/>
        <v>-1000</v>
      </c>
      <c r="AI226" s="18">
        <f t="shared" si="644"/>
        <v>-1000</v>
      </c>
      <c r="AJ226" s="18">
        <f t="shared" si="644"/>
        <v>-1000</v>
      </c>
      <c r="AK226" s="18">
        <f t="shared" si="644"/>
        <v>-1000</v>
      </c>
      <c r="AL226" s="18">
        <f t="shared" si="644"/>
        <v>-1000</v>
      </c>
      <c r="AM226" s="18">
        <f t="shared" si="644"/>
        <v>-1000</v>
      </c>
      <c r="AN226" s="18">
        <f t="shared" si="644"/>
        <v>-1000</v>
      </c>
      <c r="AO226" s="18">
        <f t="shared" si="644"/>
        <v>-1000</v>
      </c>
      <c r="AP226" s="18">
        <f t="shared" si="644"/>
        <v>-1000</v>
      </c>
      <c r="AQ226" s="18">
        <f t="shared" si="644"/>
        <v>-1000</v>
      </c>
      <c r="AR226" s="18">
        <f t="shared" si="644"/>
        <v>-1000</v>
      </c>
      <c r="AS226" s="18">
        <f t="shared" si="644"/>
        <v>-1000</v>
      </c>
      <c r="AT226" s="18">
        <f t="shared" si="644"/>
        <v>-1000</v>
      </c>
      <c r="AU226" s="18">
        <f t="shared" si="644"/>
        <v>-1000</v>
      </c>
      <c r="AV226" s="18">
        <f t="shared" si="644"/>
        <v>-1000</v>
      </c>
      <c r="AW226" s="18">
        <f t="shared" si="644"/>
        <v>-1000</v>
      </c>
      <c r="AX226" s="18">
        <f t="shared" si="644"/>
        <v>0</v>
      </c>
      <c r="AY226" s="18">
        <f t="shared" si="644"/>
        <v>0</v>
      </c>
    </row>
    <row r="227" spans="1:51" x14ac:dyDescent="0.25">
      <c r="A227" s="17" t="str">
        <f>A160</f>
        <v>Cashstream 3: Operating Costs</v>
      </c>
      <c r="C227" s="18">
        <f>SUM(D227:AY227)</f>
        <v>-384189.83979599987</v>
      </c>
      <c r="D227" s="18">
        <f t="shared" ref="D227:AY227" si="645">-D160</f>
        <v>-1210</v>
      </c>
      <c r="E227" s="18">
        <f t="shared" si="645"/>
        <v>-1210</v>
      </c>
      <c r="F227" s="18">
        <f t="shared" si="645"/>
        <v>-1210</v>
      </c>
      <c r="G227" s="18">
        <f t="shared" si="645"/>
        <v>-1210</v>
      </c>
      <c r="H227" s="18">
        <f t="shared" si="645"/>
        <v>-1210</v>
      </c>
      <c r="I227" s="18">
        <f t="shared" si="645"/>
        <v>-19210</v>
      </c>
      <c r="J227" s="18">
        <f t="shared" si="645"/>
        <v>-5383</v>
      </c>
      <c r="K227" s="18">
        <f t="shared" si="645"/>
        <v>-5800.3</v>
      </c>
      <c r="L227" s="18">
        <f t="shared" si="645"/>
        <v>-6259.33</v>
      </c>
      <c r="M227" s="18">
        <f t="shared" si="645"/>
        <v>-6764.2629999999999</v>
      </c>
      <c r="N227" s="18">
        <f t="shared" si="645"/>
        <v>-7319.6893</v>
      </c>
      <c r="O227" s="18">
        <f t="shared" si="645"/>
        <v>-7930.6582300000018</v>
      </c>
      <c r="P227" s="18">
        <f t="shared" si="645"/>
        <v>-8602.7240530000017</v>
      </c>
      <c r="Q227" s="18">
        <f t="shared" si="645"/>
        <v>-9341.9964583000037</v>
      </c>
      <c r="R227" s="18">
        <f t="shared" si="645"/>
        <v>-9569.9963590000025</v>
      </c>
      <c r="S227" s="18">
        <f t="shared" si="645"/>
        <v>-9569.9963590000025</v>
      </c>
      <c r="T227" s="18">
        <f t="shared" si="645"/>
        <v>-9569.9963590000025</v>
      </c>
      <c r="U227" s="18">
        <f t="shared" si="645"/>
        <v>-9569.9963590000025</v>
      </c>
      <c r="V227" s="18">
        <f t="shared" si="645"/>
        <v>-9569.9963590000025</v>
      </c>
      <c r="W227" s="18">
        <f t="shared" si="645"/>
        <v>-9569.9963590000025</v>
      </c>
      <c r="X227" s="18">
        <f t="shared" si="645"/>
        <v>-9569.9963590000025</v>
      </c>
      <c r="Y227" s="18">
        <f t="shared" si="645"/>
        <v>-9569.9963590000025</v>
      </c>
      <c r="Z227" s="18">
        <f t="shared" si="645"/>
        <v>-9569.9963590000025</v>
      </c>
      <c r="AA227" s="18">
        <f t="shared" si="645"/>
        <v>-9569.9963590000025</v>
      </c>
      <c r="AB227" s="18">
        <f t="shared" si="645"/>
        <v>-9569.9963590000025</v>
      </c>
      <c r="AC227" s="18">
        <f t="shared" si="645"/>
        <v>-9569.9963590000025</v>
      </c>
      <c r="AD227" s="18">
        <f t="shared" si="645"/>
        <v>-9569.9963590000025</v>
      </c>
      <c r="AE227" s="18">
        <f t="shared" si="645"/>
        <v>-9569.9963590000025</v>
      </c>
      <c r="AF227" s="18">
        <f t="shared" si="645"/>
        <v>-9569.9963590000025</v>
      </c>
      <c r="AG227" s="18">
        <f t="shared" si="645"/>
        <v>-9569.9963590000025</v>
      </c>
      <c r="AH227" s="18">
        <f t="shared" si="645"/>
        <v>-9569.9963590000025</v>
      </c>
      <c r="AI227" s="18">
        <f t="shared" si="645"/>
        <v>-9569.9963590000025</v>
      </c>
      <c r="AJ227" s="18">
        <f t="shared" si="645"/>
        <v>-9569.9963590000025</v>
      </c>
      <c r="AK227" s="18">
        <f t="shared" si="645"/>
        <v>-9569.9963590000025</v>
      </c>
      <c r="AL227" s="18">
        <f t="shared" si="645"/>
        <v>-9569.9963590000025</v>
      </c>
      <c r="AM227" s="18">
        <f t="shared" si="645"/>
        <v>-9569.9963590000025</v>
      </c>
      <c r="AN227" s="18">
        <f t="shared" si="645"/>
        <v>-9569.9963590000025</v>
      </c>
      <c r="AO227" s="18">
        <f t="shared" si="645"/>
        <v>-9569.9963590000025</v>
      </c>
      <c r="AP227" s="18">
        <f t="shared" si="645"/>
        <v>-9569.9963590000025</v>
      </c>
      <c r="AQ227" s="18">
        <f t="shared" si="645"/>
        <v>-9569.9963590000025</v>
      </c>
      <c r="AR227" s="18">
        <f t="shared" si="645"/>
        <v>-9569.9963590000025</v>
      </c>
      <c r="AS227" s="18">
        <f t="shared" si="645"/>
        <v>-9569.9963590000025</v>
      </c>
      <c r="AT227" s="18">
        <f t="shared" si="645"/>
        <v>-9569.9963590000025</v>
      </c>
      <c r="AU227" s="18">
        <f t="shared" si="645"/>
        <v>-9569.9963590000025</v>
      </c>
      <c r="AV227" s="18">
        <f t="shared" si="645"/>
        <v>-9569.9963590000025</v>
      </c>
      <c r="AW227" s="18">
        <f t="shared" si="645"/>
        <v>-9569.9963590000025</v>
      </c>
      <c r="AX227" s="18">
        <f t="shared" si="645"/>
        <v>-9569.9963590000025</v>
      </c>
      <c r="AY227" s="18">
        <f t="shared" si="645"/>
        <v>14282.001092299999</v>
      </c>
    </row>
    <row r="228" spans="1:51" x14ac:dyDescent="0.25">
      <c r="A228" s="17" t="str">
        <f>A202</f>
        <v>Cashstream 4: Taxes</v>
      </c>
      <c r="D228" s="18">
        <f t="shared" ref="D228:AY228" si="646">-D202</f>
        <v>110.00000000000004</v>
      </c>
      <c r="E228" s="18">
        <f t="shared" si="646"/>
        <v>564.54545454545473</v>
      </c>
      <c r="F228" s="18">
        <f t="shared" si="646"/>
        <v>928.18181818181847</v>
      </c>
      <c r="G228" s="18">
        <f t="shared" si="646"/>
        <v>1291.8181818181822</v>
      </c>
      <c r="H228" s="18">
        <f t="shared" si="646"/>
        <v>655.45454545454572</v>
      </c>
      <c r="I228" s="18">
        <f t="shared" si="646"/>
        <v>928.18181818181847</v>
      </c>
      <c r="J228" s="18">
        <f t="shared" si="646"/>
        <v>-110.63636363636368</v>
      </c>
      <c r="K228" s="18">
        <f t="shared" si="646"/>
        <v>-41.790909090909054</v>
      </c>
      <c r="L228" s="18">
        <f t="shared" si="646"/>
        <v>-66.060909090909149</v>
      </c>
      <c r="M228" s="18">
        <f t="shared" si="646"/>
        <v>-92.757909090909152</v>
      </c>
      <c r="N228" s="18">
        <f t="shared" si="646"/>
        <v>-122.12460909090908</v>
      </c>
      <c r="O228" s="18">
        <f t="shared" si="646"/>
        <v>-315.10170421055363</v>
      </c>
      <c r="P228" s="18">
        <f t="shared" si="646"/>
        <v>-703.68607688387124</v>
      </c>
      <c r="Q228" s="18">
        <f t="shared" si="646"/>
        <v>-839.68209517625212</v>
      </c>
      <c r="R228" s="18">
        <f t="shared" si="646"/>
        <v>-1175.5753586031676</v>
      </c>
      <c r="S228" s="18">
        <f t="shared" si="646"/>
        <v>-1174.7999519930638</v>
      </c>
      <c r="T228" s="18">
        <f t="shared" si="646"/>
        <v>-1174.0406996873373</v>
      </c>
      <c r="U228" s="18">
        <f t="shared" si="646"/>
        <v>-1173.2972651379798</v>
      </c>
      <c r="V228" s="18">
        <f t="shared" si="646"/>
        <v>-1172.5693188084008</v>
      </c>
      <c r="W228" s="18">
        <f t="shared" si="646"/>
        <v>-1171.8565380273546</v>
      </c>
      <c r="X228" s="18">
        <f t="shared" si="646"/>
        <v>-1171.1586068459135</v>
      </c>
      <c r="Y228" s="18">
        <f t="shared" si="646"/>
        <v>-1170.475215897419</v>
      </c>
      <c r="Z228" s="18">
        <f t="shared" si="646"/>
        <v>-1169.8060622603514</v>
      </c>
      <c r="AA228" s="18">
        <f t="shared" si="646"/>
        <v>-1169.1508493240565</v>
      </c>
      <c r="AB228" s="18">
        <f t="shared" si="646"/>
        <v>-1168.5092866572675</v>
      </c>
      <c r="AC228" s="18">
        <f t="shared" si="646"/>
        <v>-1167.8810898793697</v>
      </c>
      <c r="AD228" s="18">
        <f t="shared" si="646"/>
        <v>-1167.2659805343449</v>
      </c>
      <c r="AE228" s="18">
        <f t="shared" si="646"/>
        <v>-1166.6636859673415</v>
      </c>
      <c r="AF228" s="18">
        <f t="shared" si="646"/>
        <v>-1166.0739392038174</v>
      </c>
      <c r="AG228" s="18">
        <f t="shared" si="646"/>
        <v>-1165.4964788312002</v>
      </c>
      <c r="AH228" s="18">
        <f t="shared" si="646"/>
        <v>-1164.9310488830122</v>
      </c>
      <c r="AI228" s="18">
        <f t="shared" si="646"/>
        <v>-1164.3773987254115</v>
      </c>
      <c r="AJ228" s="18">
        <f t="shared" si="646"/>
        <v>-1163.8352829460944</v>
      </c>
      <c r="AK228" s="18">
        <f t="shared" si="646"/>
        <v>-1163.3044612455126</v>
      </c>
      <c r="AL228" s="18">
        <f t="shared" si="646"/>
        <v>-1162.78469833036</v>
      </c>
      <c r="AM228" s="18">
        <f t="shared" si="646"/>
        <v>-1162.2757638092728</v>
      </c>
      <c r="AN228" s="18">
        <f t="shared" si="646"/>
        <v>-1161.7774320907085</v>
      </c>
      <c r="AO228" s="18">
        <f t="shared" si="646"/>
        <v>-1161.2894822829473</v>
      </c>
      <c r="AP228" s="18">
        <f t="shared" si="646"/>
        <v>-1160.8116980961815</v>
      </c>
      <c r="AQ228" s="18">
        <f t="shared" si="646"/>
        <v>-1160.3438677466399</v>
      </c>
      <c r="AR228" s="18">
        <f t="shared" si="646"/>
        <v>-1159.8857838627139</v>
      </c>
      <c r="AS228" s="18">
        <f t="shared" si="646"/>
        <v>-1159.4372433930359</v>
      </c>
      <c r="AT228" s="18">
        <f t="shared" si="646"/>
        <v>-1158.9980475164764</v>
      </c>
      <c r="AU228" s="18">
        <f t="shared" si="646"/>
        <v>-1158.5680015540122</v>
      </c>
      <c r="AV228" s="18">
        <f t="shared" si="646"/>
        <v>-1158.1469148824324</v>
      </c>
      <c r="AW228" s="18">
        <f t="shared" si="646"/>
        <v>-1157.7346008498437</v>
      </c>
      <c r="AX228" s="18">
        <f t="shared" si="646"/>
        <v>-1230.7210282080857</v>
      </c>
      <c r="AY228" s="18">
        <f t="shared" si="646"/>
        <v>-3097.4247304100013</v>
      </c>
    </row>
    <row r="229" spans="1:51" x14ac:dyDescent="0.25">
      <c r="A229" s="7" t="s">
        <v>17</v>
      </c>
      <c r="D229" s="18">
        <f t="shared" ref="D229" si="647">IF(SUM(D225:D228)&gt;0,SUM(D225:D228),0)</f>
        <v>0</v>
      </c>
      <c r="E229" s="18">
        <f t="shared" ref="E229:V229" si="648">IF(SUM(E225:E228)&gt;0,SUM(E225:E228),0)</f>
        <v>0</v>
      </c>
      <c r="F229" s="18">
        <f t="shared" si="648"/>
        <v>0</v>
      </c>
      <c r="G229" s="18">
        <f t="shared" si="648"/>
        <v>0</v>
      </c>
      <c r="H229" s="18">
        <f t="shared" si="648"/>
        <v>0</v>
      </c>
      <c r="I229" s="18">
        <f t="shared" si="648"/>
        <v>0</v>
      </c>
      <c r="J229" s="18">
        <f t="shared" si="648"/>
        <v>1106.3636363636363</v>
      </c>
      <c r="K229" s="18">
        <f t="shared" si="648"/>
        <v>417.90909090909076</v>
      </c>
      <c r="L229" s="18">
        <f t="shared" si="648"/>
        <v>660.60909090909092</v>
      </c>
      <c r="M229" s="18">
        <f t="shared" si="648"/>
        <v>927.57909090909129</v>
      </c>
      <c r="N229" s="18">
        <f t="shared" si="648"/>
        <v>1221.2460909090905</v>
      </c>
      <c r="O229" s="18">
        <f t="shared" si="648"/>
        <v>1383.6060657894445</v>
      </c>
      <c r="P229" s="18">
        <f t="shared" si="648"/>
        <v>1385.8924701161297</v>
      </c>
      <c r="Q229" s="18">
        <f t="shared" si="648"/>
        <v>1679.8543065237473</v>
      </c>
      <c r="R229" s="18">
        <f t="shared" si="648"/>
        <v>2402.1144283968333</v>
      </c>
      <c r="S229" s="18">
        <f t="shared" si="648"/>
        <v>2402.8898350069376</v>
      </c>
      <c r="T229" s="18">
        <f t="shared" si="648"/>
        <v>2403.6490873126641</v>
      </c>
      <c r="U229" s="18">
        <f t="shared" si="648"/>
        <v>2404.3925218620216</v>
      </c>
      <c r="V229" s="18">
        <f t="shared" si="648"/>
        <v>2405.1204681916006</v>
      </c>
      <c r="W229" s="18">
        <f t="shared" ref="W229:AJ229" si="649">IF(SUM(W225:W228)&gt;0,SUM(W225:W228),0)</f>
        <v>2405.8332489726463</v>
      </c>
      <c r="X229" s="18">
        <f t="shared" si="649"/>
        <v>2406.5311801540875</v>
      </c>
      <c r="Y229" s="18">
        <f t="shared" si="649"/>
        <v>2407.2145711025823</v>
      </c>
      <c r="Z229" s="18">
        <f t="shared" si="649"/>
        <v>2407.8837247396496</v>
      </c>
      <c r="AA229" s="18">
        <f t="shared" si="649"/>
        <v>2408.5389376759449</v>
      </c>
      <c r="AB229" s="18">
        <f t="shared" si="649"/>
        <v>2409.1805003427335</v>
      </c>
      <c r="AC229" s="18">
        <f t="shared" si="649"/>
        <v>2409.8086971206312</v>
      </c>
      <c r="AD229" s="18">
        <f t="shared" si="649"/>
        <v>2410.4238064656565</v>
      </c>
      <c r="AE229" s="18">
        <f t="shared" si="649"/>
        <v>2411.0261010326594</v>
      </c>
      <c r="AF229" s="18">
        <f t="shared" si="649"/>
        <v>2411.6158477961835</v>
      </c>
      <c r="AG229" s="18">
        <f t="shared" si="649"/>
        <v>2412.1933081688012</v>
      </c>
      <c r="AH229" s="18">
        <f t="shared" si="649"/>
        <v>2412.7587381169888</v>
      </c>
      <c r="AI229" s="18">
        <f t="shared" si="649"/>
        <v>2413.3123882745895</v>
      </c>
      <c r="AJ229" s="18">
        <f t="shared" si="649"/>
        <v>2413.8545040539066</v>
      </c>
      <c r="AK229" s="18">
        <f t="shared" ref="AK229:AY229" si="650">IF(SUM(AK225:AK228)&gt;0,SUM(AK225:AK228),0)</f>
        <v>2414.3853257544888</v>
      </c>
      <c r="AL229" s="18">
        <f t="shared" si="650"/>
        <v>2414.9050886696414</v>
      </c>
      <c r="AM229" s="18">
        <f t="shared" si="650"/>
        <v>2415.4140231907286</v>
      </c>
      <c r="AN229" s="18">
        <f t="shared" si="650"/>
        <v>2415.9123549092928</v>
      </c>
      <c r="AO229" s="18">
        <f t="shared" si="650"/>
        <v>2416.4003047170536</v>
      </c>
      <c r="AP229" s="18">
        <f t="shared" si="650"/>
        <v>2416.8780889038198</v>
      </c>
      <c r="AQ229" s="18">
        <f t="shared" si="650"/>
        <v>2417.345919253361</v>
      </c>
      <c r="AR229" s="18">
        <f t="shared" si="650"/>
        <v>2417.8040031372875</v>
      </c>
      <c r="AS229" s="18">
        <f t="shared" si="650"/>
        <v>2418.2525436069654</v>
      </c>
      <c r="AT229" s="18">
        <f t="shared" si="650"/>
        <v>2418.6917394835245</v>
      </c>
      <c r="AU229" s="18">
        <f t="shared" si="650"/>
        <v>2419.1217854459892</v>
      </c>
      <c r="AV229" s="18">
        <f t="shared" si="650"/>
        <v>2419.5428721175685</v>
      </c>
      <c r="AW229" s="18">
        <f t="shared" si="650"/>
        <v>2419.9551861501577</v>
      </c>
      <c r="AX229" s="18">
        <f t="shared" si="650"/>
        <v>3346.9687587919152</v>
      </c>
      <c r="AY229" s="18">
        <f t="shared" si="650"/>
        <v>25332.262507889998</v>
      </c>
    </row>
    <row r="230" spans="1:51" x14ac:dyDescent="0.25">
      <c r="A230" s="7" t="s">
        <v>18</v>
      </c>
      <c r="D230" s="18">
        <f t="shared" ref="D230" si="651">IF(SUM(D225:D228)&lt;0,-SUM(D225:D228),0)</f>
        <v>1100</v>
      </c>
      <c r="E230" s="18">
        <f t="shared" ref="E230:V230" si="652">IF(SUM(E225:E228)&lt;0,-SUM(E225:E228),0)</f>
        <v>5645.454545454545</v>
      </c>
      <c r="F230" s="18">
        <f t="shared" si="652"/>
        <v>9281.818181818182</v>
      </c>
      <c r="G230" s="18">
        <f t="shared" si="652"/>
        <v>12918.181818181818</v>
      </c>
      <c r="H230" s="18">
        <f t="shared" si="652"/>
        <v>6554.545454545454</v>
      </c>
      <c r="I230" s="18">
        <f t="shared" si="652"/>
        <v>27281.81818181818</v>
      </c>
      <c r="J230" s="18">
        <f t="shared" si="652"/>
        <v>0</v>
      </c>
      <c r="K230" s="18">
        <f t="shared" si="652"/>
        <v>0</v>
      </c>
      <c r="L230" s="18">
        <f t="shared" si="652"/>
        <v>0</v>
      </c>
      <c r="M230" s="18">
        <f t="shared" si="652"/>
        <v>0</v>
      </c>
      <c r="N230" s="18">
        <f t="shared" si="652"/>
        <v>0</v>
      </c>
      <c r="O230" s="18">
        <f t="shared" si="652"/>
        <v>0</v>
      </c>
      <c r="P230" s="18">
        <f t="shared" si="652"/>
        <v>0</v>
      </c>
      <c r="Q230" s="18">
        <f t="shared" si="652"/>
        <v>0</v>
      </c>
      <c r="R230" s="18">
        <f t="shared" si="652"/>
        <v>0</v>
      </c>
      <c r="S230" s="18">
        <f t="shared" si="652"/>
        <v>0</v>
      </c>
      <c r="T230" s="18">
        <f t="shared" si="652"/>
        <v>0</v>
      </c>
      <c r="U230" s="18">
        <f t="shared" si="652"/>
        <v>0</v>
      </c>
      <c r="V230" s="18">
        <f t="shared" si="652"/>
        <v>0</v>
      </c>
      <c r="W230" s="18">
        <f t="shared" ref="W230:AJ230" si="653">IF(SUM(W225:W228)&lt;0,-SUM(W225:W228),0)</f>
        <v>0</v>
      </c>
      <c r="X230" s="18">
        <f t="shared" si="653"/>
        <v>0</v>
      </c>
      <c r="Y230" s="18">
        <f t="shared" si="653"/>
        <v>0</v>
      </c>
      <c r="Z230" s="18">
        <f t="shared" si="653"/>
        <v>0</v>
      </c>
      <c r="AA230" s="18">
        <f t="shared" si="653"/>
        <v>0</v>
      </c>
      <c r="AB230" s="18">
        <f t="shared" si="653"/>
        <v>0</v>
      </c>
      <c r="AC230" s="18">
        <f t="shared" si="653"/>
        <v>0</v>
      </c>
      <c r="AD230" s="18">
        <f t="shared" si="653"/>
        <v>0</v>
      </c>
      <c r="AE230" s="18">
        <f t="shared" si="653"/>
        <v>0</v>
      </c>
      <c r="AF230" s="18">
        <f t="shared" si="653"/>
        <v>0</v>
      </c>
      <c r="AG230" s="18">
        <f t="shared" si="653"/>
        <v>0</v>
      </c>
      <c r="AH230" s="18">
        <f t="shared" si="653"/>
        <v>0</v>
      </c>
      <c r="AI230" s="18">
        <f t="shared" si="653"/>
        <v>0</v>
      </c>
      <c r="AJ230" s="18">
        <f t="shared" si="653"/>
        <v>0</v>
      </c>
      <c r="AK230" s="18">
        <f t="shared" ref="AK230:AY230" si="654">IF(SUM(AK225:AK228)&lt;0,-SUM(AK225:AK228),0)</f>
        <v>0</v>
      </c>
      <c r="AL230" s="18">
        <f t="shared" si="654"/>
        <v>0</v>
      </c>
      <c r="AM230" s="18">
        <f t="shared" si="654"/>
        <v>0</v>
      </c>
      <c r="AN230" s="18">
        <f t="shared" si="654"/>
        <v>0</v>
      </c>
      <c r="AO230" s="18">
        <f t="shared" si="654"/>
        <v>0</v>
      </c>
      <c r="AP230" s="18">
        <f t="shared" si="654"/>
        <v>0</v>
      </c>
      <c r="AQ230" s="18">
        <f t="shared" si="654"/>
        <v>0</v>
      </c>
      <c r="AR230" s="18">
        <f t="shared" si="654"/>
        <v>0</v>
      </c>
      <c r="AS230" s="18">
        <f t="shared" si="654"/>
        <v>0</v>
      </c>
      <c r="AT230" s="18">
        <f t="shared" si="654"/>
        <v>0</v>
      </c>
      <c r="AU230" s="18">
        <f t="shared" si="654"/>
        <v>0</v>
      </c>
      <c r="AV230" s="18">
        <f t="shared" si="654"/>
        <v>0</v>
      </c>
      <c r="AW230" s="18">
        <f t="shared" si="654"/>
        <v>0</v>
      </c>
      <c r="AX230" s="18">
        <f t="shared" si="654"/>
        <v>0</v>
      </c>
      <c r="AY230" s="18">
        <f t="shared" si="654"/>
        <v>0</v>
      </c>
    </row>
    <row r="231" spans="1:51" x14ac:dyDescent="0.25">
      <c r="A231" s="7" t="s">
        <v>19</v>
      </c>
      <c r="D231" s="18">
        <f t="shared" ref="D231" si="655">D229-D230</f>
        <v>-1100</v>
      </c>
      <c r="E231" s="18">
        <f t="shared" ref="E231:V231" si="656">E229-E230</f>
        <v>-5645.454545454545</v>
      </c>
      <c r="F231" s="18">
        <f t="shared" si="656"/>
        <v>-9281.818181818182</v>
      </c>
      <c r="G231" s="18">
        <f t="shared" si="656"/>
        <v>-12918.181818181818</v>
      </c>
      <c r="H231" s="18">
        <f t="shared" si="656"/>
        <v>-6554.545454545454</v>
      </c>
      <c r="I231" s="18">
        <f t="shared" si="656"/>
        <v>-27281.81818181818</v>
      </c>
      <c r="J231" s="18">
        <f t="shared" si="656"/>
        <v>1106.3636363636363</v>
      </c>
      <c r="K231" s="18">
        <f t="shared" si="656"/>
        <v>417.90909090909076</v>
      </c>
      <c r="L231" s="18">
        <f t="shared" si="656"/>
        <v>660.60909090909092</v>
      </c>
      <c r="M231" s="18">
        <f t="shared" si="656"/>
        <v>927.57909090909129</v>
      </c>
      <c r="N231" s="18">
        <f t="shared" si="656"/>
        <v>1221.2460909090905</v>
      </c>
      <c r="O231" s="18">
        <f t="shared" si="656"/>
        <v>1383.6060657894445</v>
      </c>
      <c r="P231" s="18">
        <f t="shared" si="656"/>
        <v>1385.8924701161297</v>
      </c>
      <c r="Q231" s="18">
        <f t="shared" si="656"/>
        <v>1679.8543065237473</v>
      </c>
      <c r="R231" s="18">
        <f t="shared" si="656"/>
        <v>2402.1144283968333</v>
      </c>
      <c r="S231" s="18">
        <f t="shared" si="656"/>
        <v>2402.8898350069376</v>
      </c>
      <c r="T231" s="18">
        <f t="shared" si="656"/>
        <v>2403.6490873126641</v>
      </c>
      <c r="U231" s="18">
        <f t="shared" si="656"/>
        <v>2404.3925218620216</v>
      </c>
      <c r="V231" s="18">
        <f t="shared" si="656"/>
        <v>2405.1204681916006</v>
      </c>
      <c r="W231" s="18">
        <f t="shared" ref="W231:AJ231" si="657">W229-W230</f>
        <v>2405.8332489726463</v>
      </c>
      <c r="X231" s="18">
        <f t="shared" si="657"/>
        <v>2406.5311801540875</v>
      </c>
      <c r="Y231" s="18">
        <f t="shared" si="657"/>
        <v>2407.2145711025823</v>
      </c>
      <c r="Z231" s="18">
        <f t="shared" si="657"/>
        <v>2407.8837247396496</v>
      </c>
      <c r="AA231" s="18">
        <f t="shared" si="657"/>
        <v>2408.5389376759449</v>
      </c>
      <c r="AB231" s="18">
        <f t="shared" si="657"/>
        <v>2409.1805003427335</v>
      </c>
      <c r="AC231" s="18">
        <f t="shared" si="657"/>
        <v>2409.8086971206312</v>
      </c>
      <c r="AD231" s="18">
        <f t="shared" si="657"/>
        <v>2410.4238064656565</v>
      </c>
      <c r="AE231" s="18">
        <f t="shared" si="657"/>
        <v>2411.0261010326594</v>
      </c>
      <c r="AF231" s="18">
        <f t="shared" si="657"/>
        <v>2411.6158477961835</v>
      </c>
      <c r="AG231" s="18">
        <f t="shared" si="657"/>
        <v>2412.1933081688012</v>
      </c>
      <c r="AH231" s="18">
        <f t="shared" si="657"/>
        <v>2412.7587381169888</v>
      </c>
      <c r="AI231" s="18">
        <f t="shared" si="657"/>
        <v>2413.3123882745895</v>
      </c>
      <c r="AJ231" s="18">
        <f t="shared" si="657"/>
        <v>2413.8545040539066</v>
      </c>
      <c r="AK231" s="18">
        <f t="shared" ref="AK231:AY231" si="658">AK229-AK230</f>
        <v>2414.3853257544888</v>
      </c>
      <c r="AL231" s="18">
        <f t="shared" si="658"/>
        <v>2414.9050886696414</v>
      </c>
      <c r="AM231" s="18">
        <f t="shared" si="658"/>
        <v>2415.4140231907286</v>
      </c>
      <c r="AN231" s="18">
        <f t="shared" si="658"/>
        <v>2415.9123549092928</v>
      </c>
      <c r="AO231" s="18">
        <f t="shared" si="658"/>
        <v>2416.4003047170536</v>
      </c>
      <c r="AP231" s="18">
        <f t="shared" si="658"/>
        <v>2416.8780889038198</v>
      </c>
      <c r="AQ231" s="18">
        <f t="shared" si="658"/>
        <v>2417.345919253361</v>
      </c>
      <c r="AR231" s="18">
        <f t="shared" si="658"/>
        <v>2417.8040031372875</v>
      </c>
      <c r="AS231" s="18">
        <f t="shared" si="658"/>
        <v>2418.2525436069654</v>
      </c>
      <c r="AT231" s="18">
        <f t="shared" si="658"/>
        <v>2418.6917394835245</v>
      </c>
      <c r="AU231" s="18">
        <f t="shared" si="658"/>
        <v>2419.1217854459892</v>
      </c>
      <c r="AV231" s="18">
        <f t="shared" si="658"/>
        <v>2419.5428721175685</v>
      </c>
      <c r="AW231" s="18">
        <f t="shared" si="658"/>
        <v>2419.9551861501577</v>
      </c>
      <c r="AX231" s="18">
        <f t="shared" si="658"/>
        <v>3346.9687587919152</v>
      </c>
      <c r="AY231" s="18">
        <f t="shared" si="658"/>
        <v>25332.262507889998</v>
      </c>
    </row>
    <row r="232" spans="1:51" x14ac:dyDescent="0.25">
      <c r="A232" s="44"/>
      <c r="B232" s="44"/>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row>
    <row r="275" spans="1:3" x14ac:dyDescent="0.25">
      <c r="A275" s="39" t="s">
        <v>6</v>
      </c>
    </row>
    <row r="276" spans="1:3" x14ac:dyDescent="0.25">
      <c r="A276" s="7" t="s">
        <v>7</v>
      </c>
    </row>
    <row r="277" spans="1:3" x14ac:dyDescent="0.25">
      <c r="A277" s="46" t="s">
        <v>3</v>
      </c>
      <c r="B277" s="47" t="s">
        <v>20</v>
      </c>
      <c r="C277" s="2">
        <v>0.36</v>
      </c>
    </row>
  </sheetData>
  <pageMargins left="0.70866141732283472" right="0.70866141732283472" top="0.74803149606299213" bottom="0.74803149606299213" header="0.31496062992125984" footer="0.31496062992125984"/>
  <pageSetup paperSize="9" scale="2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47E3-101C-4078-9EA9-157F541937A8}">
  <sheetPr>
    <pageSetUpPr fitToPage="1"/>
  </sheetPr>
  <dimension ref="A1:BD101"/>
  <sheetViews>
    <sheetView zoomScale="70" zoomScaleNormal="70" workbookViewId="0">
      <pane xSplit="23025" topLeftCell="AW1"/>
      <selection activeCell="N7" sqref="N7"/>
      <selection pane="topRight" activeCell="BA58" sqref="BA58"/>
    </sheetView>
  </sheetViews>
  <sheetFormatPr defaultColWidth="8.85546875" defaultRowHeight="15.75" x14ac:dyDescent="0.25"/>
  <cols>
    <col min="1" max="1" width="57.85546875" style="7" customWidth="1"/>
    <col min="2" max="2" width="21.85546875" style="13" customWidth="1"/>
    <col min="3" max="3" width="19.7109375" style="1" customWidth="1"/>
    <col min="4" max="51" width="13.85546875" style="4" customWidth="1"/>
    <col min="52" max="16384" width="8.85546875" style="7"/>
  </cols>
  <sheetData>
    <row r="1" spans="1:51" s="33" customFormat="1" ht="30.75" customHeight="1" x14ac:dyDescent="0.25">
      <c r="A1" s="61" t="str">
        <f>'Intro &amp; Audits'!A1</f>
        <v>One-page Business Model with One-page Project Funding of a Social Enterprise - 48 months: Village Organic Fertilisers (first 48 months)</v>
      </c>
      <c r="B1" s="218"/>
      <c r="C1" s="32"/>
      <c r="D1" s="32"/>
      <c r="E1" s="32"/>
      <c r="F1" s="32"/>
      <c r="G1" s="32"/>
      <c r="H1" s="32"/>
      <c r="I1" s="32"/>
    </row>
    <row r="2" spans="1:51" s="34" customFormat="1" ht="30.75" customHeight="1" x14ac:dyDescent="0.25">
      <c r="A2" s="66" t="s">
        <v>24</v>
      </c>
    </row>
    <row r="3" spans="1:51" s="34" customFormat="1" ht="57" customHeight="1" x14ac:dyDescent="0.25">
      <c r="A3" s="155" t="s">
        <v>172</v>
      </c>
      <c r="B3" s="29"/>
      <c r="C3" s="6"/>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row>
    <row r="23" spans="1:56" s="34" customFormat="1" ht="34.35" customHeight="1" x14ac:dyDescent="0.25">
      <c r="A23" s="244" t="s">
        <v>209</v>
      </c>
      <c r="B23" s="29"/>
      <c r="C23" s="6"/>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row>
    <row r="24" spans="1:56" s="217" customFormat="1" ht="49.35" customHeight="1" x14ac:dyDescent="0.25">
      <c r="A24" s="222" t="str">
        <f>'business model (in Real terms)'!A97</f>
        <v>Months --&gt;</v>
      </c>
      <c r="B24" s="222" t="str">
        <f>'business model (in Real terms)'!B97</f>
        <v>units</v>
      </c>
      <c r="C24" s="222" t="str">
        <f>'business model (in Real terms)'!C97</f>
        <v>Total</v>
      </c>
      <c r="D24" s="223">
        <f>'business model (in Real terms)'!D97</f>
        <v>43922</v>
      </c>
      <c r="E24" s="223">
        <f>'business model (in Real terms)'!E97</f>
        <v>43952</v>
      </c>
      <c r="F24" s="223">
        <f>'business model (in Real terms)'!F97</f>
        <v>43983</v>
      </c>
      <c r="G24" s="223">
        <f>'business model (in Real terms)'!G97</f>
        <v>44013</v>
      </c>
      <c r="H24" s="223">
        <f>'business model (in Real terms)'!H97</f>
        <v>44044</v>
      </c>
      <c r="I24" s="223">
        <f>'business model (in Real terms)'!I97</f>
        <v>44075</v>
      </c>
      <c r="J24" s="223">
        <f>'business model (in Real terms)'!J97</f>
        <v>44105</v>
      </c>
      <c r="K24" s="223">
        <f>'business model (in Real terms)'!K97</f>
        <v>44136</v>
      </c>
      <c r="L24" s="223">
        <f>'business model (in Real terms)'!L97</f>
        <v>44166</v>
      </c>
      <c r="M24" s="223">
        <f>'business model (in Real terms)'!M97</f>
        <v>44197</v>
      </c>
      <c r="N24" s="223">
        <f>'business model (in Real terms)'!N97</f>
        <v>44228</v>
      </c>
      <c r="O24" s="223">
        <f>'business model (in Real terms)'!O97</f>
        <v>44256</v>
      </c>
      <c r="P24" s="223">
        <f>'business model (in Real terms)'!P97</f>
        <v>44287</v>
      </c>
      <c r="Q24" s="223">
        <f>'business model (in Real terms)'!Q97</f>
        <v>44317</v>
      </c>
      <c r="R24" s="223">
        <f>'business model (in Real terms)'!R97</f>
        <v>44348</v>
      </c>
      <c r="S24" s="223">
        <f>'business model (in Real terms)'!S97</f>
        <v>44378</v>
      </c>
      <c r="T24" s="223">
        <f>'business model (in Real terms)'!T97</f>
        <v>44409</v>
      </c>
      <c r="U24" s="223">
        <f>'business model (in Real terms)'!U97</f>
        <v>44440</v>
      </c>
      <c r="V24" s="223">
        <f>'business model (in Real terms)'!V97</f>
        <v>44470</v>
      </c>
      <c r="W24" s="223">
        <f>'business model (in Real terms)'!W97</f>
        <v>44501</v>
      </c>
      <c r="X24" s="223">
        <f>'business model (in Real terms)'!X97</f>
        <v>44531</v>
      </c>
      <c r="Y24" s="223">
        <f>'business model (in Real terms)'!Y97</f>
        <v>44562</v>
      </c>
      <c r="Z24" s="223">
        <f>'business model (in Real terms)'!Z97</f>
        <v>44593</v>
      </c>
      <c r="AA24" s="223">
        <f>'business model (in Real terms)'!AA97</f>
        <v>44621</v>
      </c>
      <c r="AB24" s="223">
        <f>'business model (in Real terms)'!AB97</f>
        <v>44652</v>
      </c>
      <c r="AC24" s="223">
        <f>'business model (in Real terms)'!AC97</f>
        <v>44682</v>
      </c>
      <c r="AD24" s="223">
        <f>'business model (in Real terms)'!AD97</f>
        <v>44713</v>
      </c>
      <c r="AE24" s="223">
        <f>'business model (in Real terms)'!AE97</f>
        <v>44743</v>
      </c>
      <c r="AF24" s="223">
        <f>'business model (in Real terms)'!AF97</f>
        <v>44774</v>
      </c>
      <c r="AG24" s="223">
        <f>'business model (in Real terms)'!AG97</f>
        <v>44805</v>
      </c>
      <c r="AH24" s="223">
        <f>'business model (in Real terms)'!AH97</f>
        <v>44835</v>
      </c>
      <c r="AI24" s="223">
        <f>'business model (in Real terms)'!AI97</f>
        <v>44866</v>
      </c>
      <c r="AJ24" s="223">
        <f>'business model (in Real terms)'!AJ97</f>
        <v>44896</v>
      </c>
      <c r="AK24" s="223">
        <f>'business model (in Real terms)'!AK97</f>
        <v>44927</v>
      </c>
      <c r="AL24" s="223">
        <f>'business model (in Real terms)'!AL97</f>
        <v>44958</v>
      </c>
      <c r="AM24" s="223">
        <f>'business model (in Real terms)'!AM97</f>
        <v>44986</v>
      </c>
      <c r="AN24" s="223">
        <f>'business model (in Real terms)'!AN97</f>
        <v>45017</v>
      </c>
      <c r="AO24" s="223">
        <f>'business model (in Real terms)'!AO97</f>
        <v>45047</v>
      </c>
      <c r="AP24" s="223">
        <f>'business model (in Real terms)'!AP97</f>
        <v>45078</v>
      </c>
      <c r="AQ24" s="223">
        <f>'business model (in Real terms)'!AQ97</f>
        <v>45108</v>
      </c>
      <c r="AR24" s="223">
        <f>'business model (in Real terms)'!AR97</f>
        <v>45139</v>
      </c>
      <c r="AS24" s="223">
        <f>'business model (in Real terms)'!AS97</f>
        <v>45170</v>
      </c>
      <c r="AT24" s="223">
        <f>'business model (in Real terms)'!AT97</f>
        <v>45200</v>
      </c>
      <c r="AU24" s="223">
        <f>'business model (in Real terms)'!AU97</f>
        <v>45231</v>
      </c>
      <c r="AV24" s="223">
        <f>'business model (in Real terms)'!AV97</f>
        <v>45261</v>
      </c>
      <c r="AW24" s="223">
        <f>'business model (in Real terms)'!AW97</f>
        <v>45292</v>
      </c>
      <c r="AX24" s="223">
        <f>'business model (in Real terms)'!AX97</f>
        <v>45323</v>
      </c>
      <c r="AY24" s="223">
        <f>'business model (in Real terms)'!AY97</f>
        <v>45352</v>
      </c>
      <c r="AZ24" s="7"/>
      <c r="BA24" s="7"/>
      <c r="BB24" s="7"/>
      <c r="BC24" s="7"/>
      <c r="BD24" s="7"/>
    </row>
    <row r="25" spans="1:56" s="49" customFormat="1" ht="45" customHeight="1" x14ac:dyDescent="0.25">
      <c r="A25" s="68" t="s">
        <v>149</v>
      </c>
      <c r="B25" s="29"/>
      <c r="C25" s="62"/>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row>
    <row r="26" spans="1:56" x14ac:dyDescent="0.25">
      <c r="A26" s="48" t="s">
        <v>148</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6" x14ac:dyDescent="0.25">
      <c r="A27" s="224" t="str">
        <f>'business model (in Real terms)'!A105</f>
        <v>sales of organic fertiliser</v>
      </c>
      <c r="B27" s="225" t="str">
        <f>'business model (in Real terms)'!B105</f>
        <v>kilograms</v>
      </c>
      <c r="C27" s="226">
        <f>'business model (in Real terms)'!C105</f>
        <v>2529537.2292000004</v>
      </c>
      <c r="D27" s="226">
        <f>'business model (in Real terms)'!D105</f>
        <v>0</v>
      </c>
      <c r="E27" s="226">
        <f>'business model (in Real terms)'!E105</f>
        <v>0</v>
      </c>
      <c r="F27" s="226">
        <f>'business model (in Real terms)'!F105</f>
        <v>0</v>
      </c>
      <c r="G27" s="226">
        <f>'business model (in Real terms)'!G105</f>
        <v>0</v>
      </c>
      <c r="H27" s="226">
        <f>'business model (in Real terms)'!H105</f>
        <v>0</v>
      </c>
      <c r="I27" s="226">
        <f>'business model (in Real terms)'!I105</f>
        <v>0</v>
      </c>
      <c r="J27" s="226">
        <f>'business model (in Real terms)'!J105</f>
        <v>30000</v>
      </c>
      <c r="K27" s="226">
        <f>'business model (in Real terms)'!K105</f>
        <v>33000</v>
      </c>
      <c r="L27" s="226">
        <f>'business model (in Real terms)'!L105</f>
        <v>36300</v>
      </c>
      <c r="M27" s="226">
        <f>'business model (in Real terms)'!M105</f>
        <v>39930</v>
      </c>
      <c r="N27" s="226">
        <f>'business model (in Real terms)'!N105</f>
        <v>43923</v>
      </c>
      <c r="O27" s="226">
        <f>'business model (in Real terms)'!O105</f>
        <v>48315.3</v>
      </c>
      <c r="P27" s="226">
        <f>'business model (in Real terms)'!P105</f>
        <v>53146.830000000009</v>
      </c>
      <c r="Q27" s="226">
        <f>'business model (in Real terms)'!Q105</f>
        <v>58461.513000000014</v>
      </c>
      <c r="R27" s="226">
        <f>'business model (in Real terms)'!R105</f>
        <v>64307.664300000019</v>
      </c>
      <c r="S27" s="226">
        <f>'business model (in Real terms)'!S105</f>
        <v>64307.664300000019</v>
      </c>
      <c r="T27" s="226">
        <f>'business model (in Real terms)'!T105</f>
        <v>64307.664300000019</v>
      </c>
      <c r="U27" s="226">
        <f>'business model (in Real terms)'!U105</f>
        <v>64307.664300000019</v>
      </c>
      <c r="V27" s="226">
        <f>'business model (in Real terms)'!V105</f>
        <v>64307.664300000019</v>
      </c>
      <c r="W27" s="226">
        <f>'business model (in Real terms)'!W105</f>
        <v>64307.664300000019</v>
      </c>
      <c r="X27" s="226">
        <f>'business model (in Real terms)'!X105</f>
        <v>64307.664300000019</v>
      </c>
      <c r="Y27" s="226">
        <f>'business model (in Real terms)'!Y105</f>
        <v>64307.664300000019</v>
      </c>
      <c r="Z27" s="226">
        <f>'business model (in Real terms)'!Z105</f>
        <v>64307.664300000019</v>
      </c>
      <c r="AA27" s="226">
        <f>'business model (in Real terms)'!AA105</f>
        <v>64307.664300000019</v>
      </c>
      <c r="AB27" s="226">
        <f>'business model (in Real terms)'!AB105</f>
        <v>64307.664300000019</v>
      </c>
      <c r="AC27" s="226">
        <f>'business model (in Real terms)'!AC105</f>
        <v>64307.664300000019</v>
      </c>
      <c r="AD27" s="226">
        <f>'business model (in Real terms)'!AD105</f>
        <v>64307.664300000019</v>
      </c>
      <c r="AE27" s="226">
        <f>'business model (in Real terms)'!AE105</f>
        <v>64307.664300000019</v>
      </c>
      <c r="AF27" s="226">
        <f>'business model (in Real terms)'!AF105</f>
        <v>64307.664300000019</v>
      </c>
      <c r="AG27" s="226">
        <f>'business model (in Real terms)'!AG105</f>
        <v>64307.664300000019</v>
      </c>
      <c r="AH27" s="226">
        <f>'business model (in Real terms)'!AH105</f>
        <v>64307.664300000019</v>
      </c>
      <c r="AI27" s="226">
        <f>'business model (in Real terms)'!AI105</f>
        <v>64307.664300000019</v>
      </c>
      <c r="AJ27" s="226">
        <f>'business model (in Real terms)'!AJ105</f>
        <v>64307.664300000019</v>
      </c>
      <c r="AK27" s="226">
        <f>'business model (in Real terms)'!AK105</f>
        <v>64307.664300000019</v>
      </c>
      <c r="AL27" s="226">
        <f>'business model (in Real terms)'!AL105</f>
        <v>64307.664300000019</v>
      </c>
      <c r="AM27" s="226">
        <f>'business model (in Real terms)'!AM105</f>
        <v>64307.664300000019</v>
      </c>
      <c r="AN27" s="226">
        <f>'business model (in Real terms)'!AN105</f>
        <v>64307.664300000019</v>
      </c>
      <c r="AO27" s="226">
        <f>'business model (in Real terms)'!AO105</f>
        <v>64307.664300000019</v>
      </c>
      <c r="AP27" s="226">
        <f>'business model (in Real terms)'!AP105</f>
        <v>64307.664300000019</v>
      </c>
      <c r="AQ27" s="226">
        <f>'business model (in Real terms)'!AQ105</f>
        <v>64307.664300000019</v>
      </c>
      <c r="AR27" s="226">
        <f>'business model (in Real terms)'!AR105</f>
        <v>64307.664300000019</v>
      </c>
      <c r="AS27" s="226">
        <f>'business model (in Real terms)'!AS105</f>
        <v>64307.664300000019</v>
      </c>
      <c r="AT27" s="226">
        <f>'business model (in Real terms)'!AT105</f>
        <v>64307.664300000019</v>
      </c>
      <c r="AU27" s="226">
        <f>'business model (in Real terms)'!AU105</f>
        <v>64307.664300000019</v>
      </c>
      <c r="AV27" s="226">
        <f>'business model (in Real terms)'!AV105</f>
        <v>64307.664300000019</v>
      </c>
      <c r="AW27" s="226">
        <f>'business model (in Real terms)'!AW105</f>
        <v>64307.664300000019</v>
      </c>
      <c r="AX27" s="226">
        <f>'business model (in Real terms)'!AX105</f>
        <v>64307.664300000019</v>
      </c>
      <c r="AY27" s="226">
        <f>'business model (in Real terms)'!AY105</f>
        <v>64307.664300000019</v>
      </c>
    </row>
    <row r="28" spans="1:56" s="49" customFormat="1" ht="45" customHeight="1" x14ac:dyDescent="0.25">
      <c r="A28" s="68" t="s">
        <v>147</v>
      </c>
      <c r="B28" s="29"/>
      <c r="C28" s="62"/>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row>
    <row r="29" spans="1:56" x14ac:dyDescent="0.25">
      <c r="A29" s="48" t="s">
        <v>146</v>
      </c>
      <c r="B29" s="3"/>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6" x14ac:dyDescent="0.25">
      <c r="A30" s="224" t="str">
        <f>'business model (in Real terms)'!A111</f>
        <v>Cashstream 1: Revenue</v>
      </c>
      <c r="B30" s="225" t="str">
        <f>'business model (in Real terms)'!B111</f>
        <v>$ Real</v>
      </c>
      <c r="C30" s="226">
        <f>'business model (in Real terms)'!C111</f>
        <v>556498.19042399991</v>
      </c>
      <c r="D30" s="226">
        <f>'business model (in Real terms)'!D111</f>
        <v>0</v>
      </c>
      <c r="E30" s="226">
        <f>'business model (in Real terms)'!E111</f>
        <v>0</v>
      </c>
      <c r="F30" s="226">
        <f>'business model (in Real terms)'!F111</f>
        <v>0</v>
      </c>
      <c r="G30" s="226">
        <f>'business model (in Real terms)'!G111</f>
        <v>0</v>
      </c>
      <c r="H30" s="226">
        <f>'business model (in Real terms)'!H111</f>
        <v>0</v>
      </c>
      <c r="I30" s="226">
        <f>'business model (in Real terms)'!I111</f>
        <v>0</v>
      </c>
      <c r="J30" s="226">
        <f>'business model (in Real terms)'!J111</f>
        <v>6600</v>
      </c>
      <c r="K30" s="226">
        <f>'business model (in Real terms)'!K111</f>
        <v>7260</v>
      </c>
      <c r="L30" s="226">
        <f>'business model (in Real terms)'!L111</f>
        <v>7986</v>
      </c>
      <c r="M30" s="226">
        <f>'business model (in Real terms)'!M111</f>
        <v>8784.6</v>
      </c>
      <c r="N30" s="226">
        <f>'business model (in Real terms)'!N111</f>
        <v>9663.06</v>
      </c>
      <c r="O30" s="226">
        <f>'business model (in Real terms)'!O111</f>
        <v>10629.366</v>
      </c>
      <c r="P30" s="226">
        <f>'business model (in Real terms)'!P111</f>
        <v>11692.302600000003</v>
      </c>
      <c r="Q30" s="226">
        <f>'business model (in Real terms)'!Q111</f>
        <v>12861.532860000003</v>
      </c>
      <c r="R30" s="226">
        <f>'business model (in Real terms)'!R111</f>
        <v>14147.686146000004</v>
      </c>
      <c r="S30" s="226">
        <f>'business model (in Real terms)'!S111</f>
        <v>14147.686146000004</v>
      </c>
      <c r="T30" s="226">
        <f>'business model (in Real terms)'!T111</f>
        <v>14147.686146000004</v>
      </c>
      <c r="U30" s="226">
        <f>'business model (in Real terms)'!U111</f>
        <v>14147.686146000004</v>
      </c>
      <c r="V30" s="226">
        <f>'business model (in Real terms)'!V111</f>
        <v>14147.686146000004</v>
      </c>
      <c r="W30" s="226">
        <f>'business model (in Real terms)'!W111</f>
        <v>14147.686146000004</v>
      </c>
      <c r="X30" s="226">
        <f>'business model (in Real terms)'!X111</f>
        <v>14147.686146000004</v>
      </c>
      <c r="Y30" s="226">
        <f>'business model (in Real terms)'!Y111</f>
        <v>14147.686146000004</v>
      </c>
      <c r="Z30" s="226">
        <f>'business model (in Real terms)'!Z111</f>
        <v>14147.686146000004</v>
      </c>
      <c r="AA30" s="226">
        <f>'business model (in Real terms)'!AA111</f>
        <v>14147.686146000004</v>
      </c>
      <c r="AB30" s="226">
        <f>'business model (in Real terms)'!AB111</f>
        <v>14147.686146000004</v>
      </c>
      <c r="AC30" s="226">
        <f>'business model (in Real terms)'!AC111</f>
        <v>14147.686146000004</v>
      </c>
      <c r="AD30" s="226">
        <f>'business model (in Real terms)'!AD111</f>
        <v>14147.686146000004</v>
      </c>
      <c r="AE30" s="226">
        <f>'business model (in Real terms)'!AE111</f>
        <v>14147.686146000004</v>
      </c>
      <c r="AF30" s="226">
        <f>'business model (in Real terms)'!AF111</f>
        <v>14147.686146000004</v>
      </c>
      <c r="AG30" s="226">
        <f>'business model (in Real terms)'!AG111</f>
        <v>14147.686146000004</v>
      </c>
      <c r="AH30" s="226">
        <f>'business model (in Real terms)'!AH111</f>
        <v>14147.686146000004</v>
      </c>
      <c r="AI30" s="226">
        <f>'business model (in Real terms)'!AI111</f>
        <v>14147.686146000004</v>
      </c>
      <c r="AJ30" s="226">
        <f>'business model (in Real terms)'!AJ111</f>
        <v>14147.686146000004</v>
      </c>
      <c r="AK30" s="226">
        <f>'business model (in Real terms)'!AK111</f>
        <v>14147.686146000004</v>
      </c>
      <c r="AL30" s="226">
        <f>'business model (in Real terms)'!AL111</f>
        <v>14147.686146000004</v>
      </c>
      <c r="AM30" s="226">
        <f>'business model (in Real terms)'!AM111</f>
        <v>14147.686146000004</v>
      </c>
      <c r="AN30" s="226">
        <f>'business model (in Real terms)'!AN111</f>
        <v>14147.686146000004</v>
      </c>
      <c r="AO30" s="226">
        <f>'business model (in Real terms)'!AO111</f>
        <v>14147.686146000004</v>
      </c>
      <c r="AP30" s="226">
        <f>'business model (in Real terms)'!AP111</f>
        <v>14147.686146000004</v>
      </c>
      <c r="AQ30" s="226">
        <f>'business model (in Real terms)'!AQ111</f>
        <v>14147.686146000004</v>
      </c>
      <c r="AR30" s="226">
        <f>'business model (in Real terms)'!AR111</f>
        <v>14147.686146000004</v>
      </c>
      <c r="AS30" s="226">
        <f>'business model (in Real terms)'!AS111</f>
        <v>14147.686146000004</v>
      </c>
      <c r="AT30" s="226">
        <f>'business model (in Real terms)'!AT111</f>
        <v>14147.686146000004</v>
      </c>
      <c r="AU30" s="226">
        <f>'business model (in Real terms)'!AU111</f>
        <v>14147.686146000004</v>
      </c>
      <c r="AV30" s="226">
        <f>'business model (in Real terms)'!AV111</f>
        <v>14147.686146000004</v>
      </c>
      <c r="AW30" s="226">
        <f>'business model (in Real terms)'!AW111</f>
        <v>14147.686146000004</v>
      </c>
      <c r="AX30" s="226">
        <f>'business model (in Real terms)'!AX111</f>
        <v>14147.686146000004</v>
      </c>
      <c r="AY30" s="226">
        <f>'business model (in Real terms)'!AY111</f>
        <v>14147.686146000004</v>
      </c>
    </row>
    <row r="31" spans="1:56" x14ac:dyDescent="0.25">
      <c r="A31" s="224" t="str">
        <f>'business model (in Real terms)'!A122</f>
        <v>Cashstream 2: Capital Costs</v>
      </c>
      <c r="B31" s="225" t="str">
        <f>'business model (in Real terms)'!B122</f>
        <v>$ Real</v>
      </c>
      <c r="C31" s="226">
        <f>'business model (in Real terms)'!C122</f>
        <v>81000</v>
      </c>
      <c r="D31" s="226">
        <f>'business model (in Real terms)'!D122</f>
        <v>0</v>
      </c>
      <c r="E31" s="226">
        <f>'business model (in Real terms)'!E122</f>
        <v>5000</v>
      </c>
      <c r="F31" s="226">
        <f>'business model (in Real terms)'!F122</f>
        <v>9000</v>
      </c>
      <c r="G31" s="226">
        <f>'business model (in Real terms)'!G122</f>
        <v>13000</v>
      </c>
      <c r="H31" s="226">
        <f>'business model (in Real terms)'!H122</f>
        <v>6000</v>
      </c>
      <c r="I31" s="226">
        <f>'business model (in Real terms)'!I122</f>
        <v>9000</v>
      </c>
      <c r="J31" s="226">
        <f>'business model (in Real terms)'!J122</f>
        <v>0</v>
      </c>
      <c r="K31" s="226">
        <f>'business model (in Real terms)'!K122</f>
        <v>1000</v>
      </c>
      <c r="L31" s="226">
        <f>'business model (in Real terms)'!L122</f>
        <v>1000</v>
      </c>
      <c r="M31" s="226">
        <f>'business model (in Real terms)'!M122</f>
        <v>1000</v>
      </c>
      <c r="N31" s="226">
        <f>'business model (in Real terms)'!N122</f>
        <v>1000</v>
      </c>
      <c r="O31" s="226">
        <f>'business model (in Real terms)'!O122</f>
        <v>1000</v>
      </c>
      <c r="P31" s="226">
        <f>'business model (in Real terms)'!P122</f>
        <v>1000</v>
      </c>
      <c r="Q31" s="226">
        <f>'business model (in Real terms)'!Q122</f>
        <v>1000</v>
      </c>
      <c r="R31" s="226">
        <f>'business model (in Real terms)'!R122</f>
        <v>1000</v>
      </c>
      <c r="S31" s="226">
        <f>'business model (in Real terms)'!S122</f>
        <v>1000</v>
      </c>
      <c r="T31" s="226">
        <f>'business model (in Real terms)'!T122</f>
        <v>1000</v>
      </c>
      <c r="U31" s="226">
        <f>'business model (in Real terms)'!U122</f>
        <v>1000</v>
      </c>
      <c r="V31" s="226">
        <f>'business model (in Real terms)'!V122</f>
        <v>1000</v>
      </c>
      <c r="W31" s="226">
        <f>'business model (in Real terms)'!W122</f>
        <v>1000</v>
      </c>
      <c r="X31" s="226">
        <f>'business model (in Real terms)'!X122</f>
        <v>1000</v>
      </c>
      <c r="Y31" s="226">
        <f>'business model (in Real terms)'!Y122</f>
        <v>1000</v>
      </c>
      <c r="Z31" s="226">
        <f>'business model (in Real terms)'!Z122</f>
        <v>1000</v>
      </c>
      <c r="AA31" s="226">
        <f>'business model (in Real terms)'!AA122</f>
        <v>1000</v>
      </c>
      <c r="AB31" s="226">
        <f>'business model (in Real terms)'!AB122</f>
        <v>1000</v>
      </c>
      <c r="AC31" s="226">
        <f>'business model (in Real terms)'!AC122</f>
        <v>1000</v>
      </c>
      <c r="AD31" s="226">
        <f>'business model (in Real terms)'!AD122</f>
        <v>1000</v>
      </c>
      <c r="AE31" s="226">
        <f>'business model (in Real terms)'!AE122</f>
        <v>1000</v>
      </c>
      <c r="AF31" s="226">
        <f>'business model (in Real terms)'!AF122</f>
        <v>1000</v>
      </c>
      <c r="AG31" s="226">
        <f>'business model (in Real terms)'!AG122</f>
        <v>1000</v>
      </c>
      <c r="AH31" s="226">
        <f>'business model (in Real terms)'!AH122</f>
        <v>1000</v>
      </c>
      <c r="AI31" s="226">
        <f>'business model (in Real terms)'!AI122</f>
        <v>1000</v>
      </c>
      <c r="AJ31" s="226">
        <f>'business model (in Real terms)'!AJ122</f>
        <v>1000</v>
      </c>
      <c r="AK31" s="226">
        <f>'business model (in Real terms)'!AK122</f>
        <v>1000</v>
      </c>
      <c r="AL31" s="226">
        <f>'business model (in Real terms)'!AL122</f>
        <v>1000</v>
      </c>
      <c r="AM31" s="226">
        <f>'business model (in Real terms)'!AM122</f>
        <v>1000</v>
      </c>
      <c r="AN31" s="226">
        <f>'business model (in Real terms)'!AN122</f>
        <v>1000</v>
      </c>
      <c r="AO31" s="226">
        <f>'business model (in Real terms)'!AO122</f>
        <v>1000</v>
      </c>
      <c r="AP31" s="226">
        <f>'business model (in Real terms)'!AP122</f>
        <v>1000</v>
      </c>
      <c r="AQ31" s="226">
        <f>'business model (in Real terms)'!AQ122</f>
        <v>1000</v>
      </c>
      <c r="AR31" s="226">
        <f>'business model (in Real terms)'!AR122</f>
        <v>1000</v>
      </c>
      <c r="AS31" s="226">
        <f>'business model (in Real terms)'!AS122</f>
        <v>1000</v>
      </c>
      <c r="AT31" s="226">
        <f>'business model (in Real terms)'!AT122</f>
        <v>1000</v>
      </c>
      <c r="AU31" s="226">
        <f>'business model (in Real terms)'!AU122</f>
        <v>1000</v>
      </c>
      <c r="AV31" s="226">
        <f>'business model (in Real terms)'!AV122</f>
        <v>1000</v>
      </c>
      <c r="AW31" s="226">
        <f>'business model (in Real terms)'!AW122</f>
        <v>1000</v>
      </c>
      <c r="AX31" s="226">
        <f>'business model (in Real terms)'!AX122</f>
        <v>0</v>
      </c>
      <c r="AY31" s="226">
        <f>'business model (in Real terms)'!AY122</f>
        <v>0</v>
      </c>
    </row>
    <row r="32" spans="1:56" x14ac:dyDescent="0.25">
      <c r="A32" s="224" t="str">
        <f>'business model (in Real terms)'!A160</f>
        <v>Cashstream 3: Operating Costs</v>
      </c>
      <c r="B32" s="225" t="str">
        <f>'business model (in Real terms)'!B160</f>
        <v>$ Real</v>
      </c>
      <c r="C32" s="226">
        <f>'business model (in Real terms)'!C160</f>
        <v>384189.83979599987</v>
      </c>
      <c r="D32" s="226">
        <f>'business model (in Real terms)'!D160</f>
        <v>1210</v>
      </c>
      <c r="E32" s="226">
        <f>'business model (in Real terms)'!E160</f>
        <v>1210</v>
      </c>
      <c r="F32" s="226">
        <f>'business model (in Real terms)'!F160</f>
        <v>1210</v>
      </c>
      <c r="G32" s="226">
        <f>'business model (in Real terms)'!G160</f>
        <v>1210</v>
      </c>
      <c r="H32" s="226">
        <f>'business model (in Real terms)'!H160</f>
        <v>1210</v>
      </c>
      <c r="I32" s="226">
        <f>'business model (in Real terms)'!I160</f>
        <v>19210</v>
      </c>
      <c r="J32" s="226">
        <f>'business model (in Real terms)'!J160</f>
        <v>5383</v>
      </c>
      <c r="K32" s="226">
        <f>'business model (in Real terms)'!K160</f>
        <v>5800.3</v>
      </c>
      <c r="L32" s="226">
        <f>'business model (in Real terms)'!L160</f>
        <v>6259.33</v>
      </c>
      <c r="M32" s="226">
        <f>'business model (in Real terms)'!M160</f>
        <v>6764.2629999999999</v>
      </c>
      <c r="N32" s="226">
        <f>'business model (in Real terms)'!N160</f>
        <v>7319.6893</v>
      </c>
      <c r="O32" s="226">
        <f>'business model (in Real terms)'!O160</f>
        <v>7930.6582300000018</v>
      </c>
      <c r="P32" s="226">
        <f>'business model (in Real terms)'!P160</f>
        <v>8602.7240530000017</v>
      </c>
      <c r="Q32" s="226">
        <f>'business model (in Real terms)'!Q160</f>
        <v>9341.9964583000037</v>
      </c>
      <c r="R32" s="226">
        <f>'business model (in Real terms)'!R160</f>
        <v>9569.9963590000025</v>
      </c>
      <c r="S32" s="226">
        <f>'business model (in Real terms)'!S160</f>
        <v>9569.9963590000025</v>
      </c>
      <c r="T32" s="226">
        <f>'business model (in Real terms)'!T160</f>
        <v>9569.9963590000025</v>
      </c>
      <c r="U32" s="226">
        <f>'business model (in Real terms)'!U160</f>
        <v>9569.9963590000025</v>
      </c>
      <c r="V32" s="226">
        <f>'business model (in Real terms)'!V160</f>
        <v>9569.9963590000025</v>
      </c>
      <c r="W32" s="226">
        <f>'business model (in Real terms)'!W160</f>
        <v>9569.9963590000025</v>
      </c>
      <c r="X32" s="226">
        <f>'business model (in Real terms)'!X160</f>
        <v>9569.9963590000025</v>
      </c>
      <c r="Y32" s="226">
        <f>'business model (in Real terms)'!Y160</f>
        <v>9569.9963590000025</v>
      </c>
      <c r="Z32" s="226">
        <f>'business model (in Real terms)'!Z160</f>
        <v>9569.9963590000025</v>
      </c>
      <c r="AA32" s="226">
        <f>'business model (in Real terms)'!AA160</f>
        <v>9569.9963590000025</v>
      </c>
      <c r="AB32" s="226">
        <f>'business model (in Real terms)'!AB160</f>
        <v>9569.9963590000025</v>
      </c>
      <c r="AC32" s="226">
        <f>'business model (in Real terms)'!AC160</f>
        <v>9569.9963590000025</v>
      </c>
      <c r="AD32" s="226">
        <f>'business model (in Real terms)'!AD160</f>
        <v>9569.9963590000025</v>
      </c>
      <c r="AE32" s="226">
        <f>'business model (in Real terms)'!AE160</f>
        <v>9569.9963590000025</v>
      </c>
      <c r="AF32" s="226">
        <f>'business model (in Real terms)'!AF160</f>
        <v>9569.9963590000025</v>
      </c>
      <c r="AG32" s="226">
        <f>'business model (in Real terms)'!AG160</f>
        <v>9569.9963590000025</v>
      </c>
      <c r="AH32" s="226">
        <f>'business model (in Real terms)'!AH160</f>
        <v>9569.9963590000025</v>
      </c>
      <c r="AI32" s="226">
        <f>'business model (in Real terms)'!AI160</f>
        <v>9569.9963590000025</v>
      </c>
      <c r="AJ32" s="226">
        <f>'business model (in Real terms)'!AJ160</f>
        <v>9569.9963590000025</v>
      </c>
      <c r="AK32" s="226">
        <f>'business model (in Real terms)'!AK160</f>
        <v>9569.9963590000025</v>
      </c>
      <c r="AL32" s="226">
        <f>'business model (in Real terms)'!AL160</f>
        <v>9569.9963590000025</v>
      </c>
      <c r="AM32" s="226">
        <f>'business model (in Real terms)'!AM160</f>
        <v>9569.9963590000025</v>
      </c>
      <c r="AN32" s="226">
        <f>'business model (in Real terms)'!AN160</f>
        <v>9569.9963590000025</v>
      </c>
      <c r="AO32" s="226">
        <f>'business model (in Real terms)'!AO160</f>
        <v>9569.9963590000025</v>
      </c>
      <c r="AP32" s="226">
        <f>'business model (in Real terms)'!AP160</f>
        <v>9569.9963590000025</v>
      </c>
      <c r="AQ32" s="226">
        <f>'business model (in Real terms)'!AQ160</f>
        <v>9569.9963590000025</v>
      </c>
      <c r="AR32" s="226">
        <f>'business model (in Real terms)'!AR160</f>
        <v>9569.9963590000025</v>
      </c>
      <c r="AS32" s="226">
        <f>'business model (in Real terms)'!AS160</f>
        <v>9569.9963590000025</v>
      </c>
      <c r="AT32" s="226">
        <f>'business model (in Real terms)'!AT160</f>
        <v>9569.9963590000025</v>
      </c>
      <c r="AU32" s="226">
        <f>'business model (in Real terms)'!AU160</f>
        <v>9569.9963590000025</v>
      </c>
      <c r="AV32" s="226">
        <f>'business model (in Real terms)'!AV160</f>
        <v>9569.9963590000025</v>
      </c>
      <c r="AW32" s="226">
        <f>'business model (in Real terms)'!AW160</f>
        <v>9569.9963590000025</v>
      </c>
      <c r="AX32" s="226">
        <f>'business model (in Real terms)'!AX160</f>
        <v>9569.9963590000025</v>
      </c>
      <c r="AY32" s="226">
        <f>'business model (in Real terms)'!AY160</f>
        <v>-14282.001092299999</v>
      </c>
    </row>
    <row r="33" spans="1:51" x14ac:dyDescent="0.25">
      <c r="A33" s="224" t="str">
        <f>'business model (in Real terms)'!A202</f>
        <v>Cashstream 4: Taxes</v>
      </c>
      <c r="B33" s="225" t="str">
        <f>'business model (in Real terms)'!B202</f>
        <v>$ Real</v>
      </c>
      <c r="C33" s="226">
        <f>'business model (in Real terms)'!C202</f>
        <v>39444.926570579984</v>
      </c>
      <c r="D33" s="226">
        <f>'business model (in Real terms)'!D202</f>
        <v>-110.00000000000004</v>
      </c>
      <c r="E33" s="226">
        <f>'business model (in Real terms)'!E202</f>
        <v>-564.54545454545473</v>
      </c>
      <c r="F33" s="226">
        <f>'business model (in Real terms)'!F202</f>
        <v>-928.18181818181847</v>
      </c>
      <c r="G33" s="226">
        <f>'business model (in Real terms)'!G202</f>
        <v>-1291.8181818181822</v>
      </c>
      <c r="H33" s="226">
        <f>'business model (in Real terms)'!H202</f>
        <v>-655.45454545454572</v>
      </c>
      <c r="I33" s="226">
        <f>'business model (in Real terms)'!I202</f>
        <v>-928.18181818181847</v>
      </c>
      <c r="J33" s="226">
        <f>'business model (in Real terms)'!J202</f>
        <v>110.63636363636368</v>
      </c>
      <c r="K33" s="226">
        <f>'business model (in Real terms)'!K202</f>
        <v>41.790909090909054</v>
      </c>
      <c r="L33" s="226">
        <f>'business model (in Real terms)'!L202</f>
        <v>66.060909090909149</v>
      </c>
      <c r="M33" s="226">
        <f>'business model (in Real terms)'!M202</f>
        <v>92.757909090909152</v>
      </c>
      <c r="N33" s="226">
        <f>'business model (in Real terms)'!N202</f>
        <v>122.12460909090908</v>
      </c>
      <c r="O33" s="226">
        <f>'business model (in Real terms)'!O202</f>
        <v>315.10170421055363</v>
      </c>
      <c r="P33" s="226">
        <f>'business model (in Real terms)'!P202</f>
        <v>703.68607688387124</v>
      </c>
      <c r="Q33" s="226">
        <f>'business model (in Real terms)'!Q202</f>
        <v>839.68209517625212</v>
      </c>
      <c r="R33" s="226">
        <f>'business model (in Real terms)'!R202</f>
        <v>1175.5753586031676</v>
      </c>
      <c r="S33" s="226">
        <f>'business model (in Real terms)'!S202</f>
        <v>1174.7999519930638</v>
      </c>
      <c r="T33" s="226">
        <f>'business model (in Real terms)'!T202</f>
        <v>1174.0406996873373</v>
      </c>
      <c r="U33" s="226">
        <f>'business model (in Real terms)'!U202</f>
        <v>1173.2972651379798</v>
      </c>
      <c r="V33" s="226">
        <f>'business model (in Real terms)'!V202</f>
        <v>1172.5693188084008</v>
      </c>
      <c r="W33" s="226">
        <f>'business model (in Real terms)'!W202</f>
        <v>1171.8565380273546</v>
      </c>
      <c r="X33" s="226">
        <f>'business model (in Real terms)'!X202</f>
        <v>1171.1586068459135</v>
      </c>
      <c r="Y33" s="226">
        <f>'business model (in Real terms)'!Y202</f>
        <v>1170.475215897419</v>
      </c>
      <c r="Z33" s="226">
        <f>'business model (in Real terms)'!Z202</f>
        <v>1169.8060622603514</v>
      </c>
      <c r="AA33" s="226">
        <f>'business model (in Real terms)'!AA202</f>
        <v>1169.1508493240565</v>
      </c>
      <c r="AB33" s="226">
        <f>'business model (in Real terms)'!AB202</f>
        <v>1168.5092866572675</v>
      </c>
      <c r="AC33" s="226">
        <f>'business model (in Real terms)'!AC202</f>
        <v>1167.8810898793697</v>
      </c>
      <c r="AD33" s="226">
        <f>'business model (in Real terms)'!AD202</f>
        <v>1167.2659805343449</v>
      </c>
      <c r="AE33" s="226">
        <f>'business model (in Real terms)'!AE202</f>
        <v>1166.6636859673415</v>
      </c>
      <c r="AF33" s="226">
        <f>'business model (in Real terms)'!AF202</f>
        <v>1166.0739392038174</v>
      </c>
      <c r="AG33" s="226">
        <f>'business model (in Real terms)'!AG202</f>
        <v>1165.4964788312002</v>
      </c>
      <c r="AH33" s="226">
        <f>'business model (in Real terms)'!AH202</f>
        <v>1164.9310488830122</v>
      </c>
      <c r="AI33" s="226">
        <f>'business model (in Real terms)'!AI202</f>
        <v>1164.3773987254115</v>
      </c>
      <c r="AJ33" s="226">
        <f>'business model (in Real terms)'!AJ202</f>
        <v>1163.8352829460944</v>
      </c>
      <c r="AK33" s="226">
        <f>'business model (in Real terms)'!AK202</f>
        <v>1163.3044612455126</v>
      </c>
      <c r="AL33" s="226">
        <f>'business model (in Real terms)'!AL202</f>
        <v>1162.78469833036</v>
      </c>
      <c r="AM33" s="226">
        <f>'business model (in Real terms)'!AM202</f>
        <v>1162.2757638092728</v>
      </c>
      <c r="AN33" s="226">
        <f>'business model (in Real terms)'!AN202</f>
        <v>1161.7774320907085</v>
      </c>
      <c r="AO33" s="226">
        <f>'business model (in Real terms)'!AO202</f>
        <v>1161.2894822829473</v>
      </c>
      <c r="AP33" s="226">
        <f>'business model (in Real terms)'!AP202</f>
        <v>1160.8116980961815</v>
      </c>
      <c r="AQ33" s="226">
        <f>'business model (in Real terms)'!AQ202</f>
        <v>1160.3438677466399</v>
      </c>
      <c r="AR33" s="226">
        <f>'business model (in Real terms)'!AR202</f>
        <v>1159.8857838627139</v>
      </c>
      <c r="AS33" s="226">
        <f>'business model (in Real terms)'!AS202</f>
        <v>1159.4372433930359</v>
      </c>
      <c r="AT33" s="226">
        <f>'business model (in Real terms)'!AT202</f>
        <v>1158.9980475164764</v>
      </c>
      <c r="AU33" s="226">
        <f>'business model (in Real terms)'!AU202</f>
        <v>1158.5680015540122</v>
      </c>
      <c r="AV33" s="226">
        <f>'business model (in Real terms)'!AV202</f>
        <v>1158.1469148824324</v>
      </c>
      <c r="AW33" s="226">
        <f>'business model (in Real terms)'!AW202</f>
        <v>1157.7346008498437</v>
      </c>
      <c r="AX33" s="226">
        <f>'business model (in Real terms)'!AX202</f>
        <v>1230.7210282080857</v>
      </c>
      <c r="AY33" s="226">
        <f>'business model (in Real terms)'!AY202</f>
        <v>3097.4247304100013</v>
      </c>
    </row>
    <row r="34" spans="1:51" s="71" customFormat="1" ht="17.45" customHeight="1" x14ac:dyDescent="0.25">
      <c r="A34" s="215" t="s">
        <v>145</v>
      </c>
      <c r="B34" s="29" t="s">
        <v>160</v>
      </c>
      <c r="C34" s="214">
        <f>SUM(D34:AY34)</f>
        <v>51863.42405742003</v>
      </c>
      <c r="D34" s="213">
        <f t="shared" ref="D34:O34" si="0">D30-SUM(D31:D33)</f>
        <v>-1100</v>
      </c>
      <c r="E34" s="213">
        <f t="shared" si="0"/>
        <v>-5645.454545454545</v>
      </c>
      <c r="F34" s="213">
        <f t="shared" si="0"/>
        <v>-9281.818181818182</v>
      </c>
      <c r="G34" s="213">
        <f t="shared" si="0"/>
        <v>-12918.181818181818</v>
      </c>
      <c r="H34" s="213">
        <f t="shared" si="0"/>
        <v>-6554.545454545454</v>
      </c>
      <c r="I34" s="213">
        <f t="shared" si="0"/>
        <v>-27281.81818181818</v>
      </c>
      <c r="J34" s="213">
        <f t="shared" si="0"/>
        <v>1106.363636363636</v>
      </c>
      <c r="K34" s="213">
        <f t="shared" si="0"/>
        <v>417.90909090909099</v>
      </c>
      <c r="L34" s="213">
        <f t="shared" si="0"/>
        <v>660.60909090909081</v>
      </c>
      <c r="M34" s="213">
        <f t="shared" si="0"/>
        <v>927.57909090909106</v>
      </c>
      <c r="N34" s="213">
        <f t="shared" si="0"/>
        <v>1221.2460909090896</v>
      </c>
      <c r="O34" s="213">
        <f t="shared" si="0"/>
        <v>1383.606065789445</v>
      </c>
      <c r="P34" s="213">
        <f t="shared" ref="P34:AY34" si="1">P30-SUM(P31:P33)</f>
        <v>1385.8924701161304</v>
      </c>
      <c r="Q34" s="213">
        <f t="shared" si="1"/>
        <v>1679.8543065237463</v>
      </c>
      <c r="R34" s="213">
        <f t="shared" si="1"/>
        <v>2402.1144283968333</v>
      </c>
      <c r="S34" s="213">
        <f t="shared" si="1"/>
        <v>2402.8898350069376</v>
      </c>
      <c r="T34" s="213">
        <f t="shared" si="1"/>
        <v>2403.6490873126641</v>
      </c>
      <c r="U34" s="213">
        <f t="shared" si="1"/>
        <v>2404.3925218620207</v>
      </c>
      <c r="V34" s="213">
        <f t="shared" si="1"/>
        <v>2405.1204681916006</v>
      </c>
      <c r="W34" s="213">
        <f t="shared" si="1"/>
        <v>2405.8332489726472</v>
      </c>
      <c r="X34" s="213">
        <f t="shared" si="1"/>
        <v>2406.5311801540884</v>
      </c>
      <c r="Y34" s="213">
        <f t="shared" si="1"/>
        <v>2407.2145711025823</v>
      </c>
      <c r="Z34" s="213">
        <f t="shared" si="1"/>
        <v>2407.8837247396496</v>
      </c>
      <c r="AA34" s="213">
        <f t="shared" si="1"/>
        <v>2408.5389376759449</v>
      </c>
      <c r="AB34" s="213">
        <f t="shared" si="1"/>
        <v>2409.1805003427344</v>
      </c>
      <c r="AC34" s="213">
        <f t="shared" si="1"/>
        <v>2409.8086971206321</v>
      </c>
      <c r="AD34" s="213">
        <f t="shared" si="1"/>
        <v>2410.4238064656565</v>
      </c>
      <c r="AE34" s="213">
        <f t="shared" si="1"/>
        <v>2411.0261010326594</v>
      </c>
      <c r="AF34" s="213">
        <f t="shared" si="1"/>
        <v>2411.6158477961835</v>
      </c>
      <c r="AG34" s="213">
        <f t="shared" si="1"/>
        <v>2412.1933081688003</v>
      </c>
      <c r="AH34" s="213">
        <f t="shared" si="1"/>
        <v>2412.7587381169888</v>
      </c>
      <c r="AI34" s="213">
        <f t="shared" si="1"/>
        <v>2413.3123882745895</v>
      </c>
      <c r="AJ34" s="213">
        <f t="shared" si="1"/>
        <v>2413.8545040539066</v>
      </c>
      <c r="AK34" s="213">
        <f t="shared" si="1"/>
        <v>2414.3853257544888</v>
      </c>
      <c r="AL34" s="213">
        <f t="shared" si="1"/>
        <v>2414.9050886696405</v>
      </c>
      <c r="AM34" s="213">
        <f t="shared" si="1"/>
        <v>2415.4140231907277</v>
      </c>
      <c r="AN34" s="213">
        <f t="shared" si="1"/>
        <v>2415.9123549092928</v>
      </c>
      <c r="AO34" s="213">
        <f t="shared" si="1"/>
        <v>2416.4003047170536</v>
      </c>
      <c r="AP34" s="213">
        <f t="shared" si="1"/>
        <v>2416.8780889038189</v>
      </c>
      <c r="AQ34" s="213">
        <f t="shared" si="1"/>
        <v>2417.345919253361</v>
      </c>
      <c r="AR34" s="213">
        <f t="shared" si="1"/>
        <v>2417.8040031372875</v>
      </c>
      <c r="AS34" s="213">
        <f t="shared" si="1"/>
        <v>2418.2525436069645</v>
      </c>
      <c r="AT34" s="213">
        <f t="shared" si="1"/>
        <v>2418.6917394835255</v>
      </c>
      <c r="AU34" s="213">
        <f t="shared" si="1"/>
        <v>2419.1217854459883</v>
      </c>
      <c r="AV34" s="213">
        <f t="shared" si="1"/>
        <v>2419.5428721175685</v>
      </c>
      <c r="AW34" s="213">
        <f t="shared" si="1"/>
        <v>2419.9551861501568</v>
      </c>
      <c r="AX34" s="213">
        <f t="shared" si="1"/>
        <v>3346.9687587919161</v>
      </c>
      <c r="AY34" s="213">
        <f t="shared" si="1"/>
        <v>25332.262507890002</v>
      </c>
    </row>
    <row r="35" spans="1:51" s="157" customFormat="1" ht="38.25" customHeight="1" x14ac:dyDescent="0.35">
      <c r="A35" s="206" t="s">
        <v>144</v>
      </c>
      <c r="B35" s="159"/>
      <c r="C35" s="147"/>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row>
    <row r="36" spans="1:51" x14ac:dyDescent="0.25">
      <c r="A36" s="48" t="s">
        <v>210</v>
      </c>
      <c r="B36" s="3"/>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s="145" customFormat="1" ht="16.5" thickBot="1" x14ac:dyDescent="0.3">
      <c r="A37" s="186" t="s">
        <v>163</v>
      </c>
      <c r="B37" s="185"/>
      <c r="C37" s="175"/>
      <c r="D37" s="227">
        <f>2%^1/12</f>
        <v>1.6666666666666668E-3</v>
      </c>
      <c r="E37" s="227">
        <f t="shared" ref="E37:O37" si="2">D37</f>
        <v>1.6666666666666668E-3</v>
      </c>
      <c r="F37" s="227">
        <f t="shared" si="2"/>
        <v>1.6666666666666668E-3</v>
      </c>
      <c r="G37" s="227">
        <f t="shared" si="2"/>
        <v>1.6666666666666668E-3</v>
      </c>
      <c r="H37" s="227">
        <f t="shared" si="2"/>
        <v>1.6666666666666668E-3</v>
      </c>
      <c r="I37" s="227">
        <f t="shared" si="2"/>
        <v>1.6666666666666668E-3</v>
      </c>
      <c r="J37" s="227">
        <f t="shared" si="2"/>
        <v>1.6666666666666668E-3</v>
      </c>
      <c r="K37" s="227">
        <f t="shared" si="2"/>
        <v>1.6666666666666668E-3</v>
      </c>
      <c r="L37" s="227">
        <f t="shared" si="2"/>
        <v>1.6666666666666668E-3</v>
      </c>
      <c r="M37" s="227">
        <f t="shared" si="2"/>
        <v>1.6666666666666668E-3</v>
      </c>
      <c r="N37" s="227">
        <f t="shared" si="2"/>
        <v>1.6666666666666668E-3</v>
      </c>
      <c r="O37" s="227">
        <f t="shared" si="2"/>
        <v>1.6666666666666668E-3</v>
      </c>
      <c r="P37" s="227">
        <f t="shared" ref="P37:AY37" si="3">O37</f>
        <v>1.6666666666666668E-3</v>
      </c>
      <c r="Q37" s="227">
        <f t="shared" si="3"/>
        <v>1.6666666666666668E-3</v>
      </c>
      <c r="R37" s="227">
        <f t="shared" si="3"/>
        <v>1.6666666666666668E-3</v>
      </c>
      <c r="S37" s="227">
        <f t="shared" si="3"/>
        <v>1.6666666666666668E-3</v>
      </c>
      <c r="T37" s="227">
        <f t="shared" si="3"/>
        <v>1.6666666666666668E-3</v>
      </c>
      <c r="U37" s="227">
        <f t="shared" si="3"/>
        <v>1.6666666666666668E-3</v>
      </c>
      <c r="V37" s="227">
        <f t="shared" si="3"/>
        <v>1.6666666666666668E-3</v>
      </c>
      <c r="W37" s="227">
        <f t="shared" si="3"/>
        <v>1.6666666666666668E-3</v>
      </c>
      <c r="X37" s="227">
        <f t="shared" si="3"/>
        <v>1.6666666666666668E-3</v>
      </c>
      <c r="Y37" s="227">
        <f t="shared" si="3"/>
        <v>1.6666666666666668E-3</v>
      </c>
      <c r="Z37" s="227">
        <f t="shared" si="3"/>
        <v>1.6666666666666668E-3</v>
      </c>
      <c r="AA37" s="227">
        <f t="shared" si="3"/>
        <v>1.6666666666666668E-3</v>
      </c>
      <c r="AB37" s="227">
        <f t="shared" si="3"/>
        <v>1.6666666666666668E-3</v>
      </c>
      <c r="AC37" s="227">
        <f t="shared" si="3"/>
        <v>1.6666666666666668E-3</v>
      </c>
      <c r="AD37" s="227">
        <f t="shared" si="3"/>
        <v>1.6666666666666668E-3</v>
      </c>
      <c r="AE37" s="227">
        <f t="shared" si="3"/>
        <v>1.6666666666666668E-3</v>
      </c>
      <c r="AF37" s="227">
        <f t="shared" si="3"/>
        <v>1.6666666666666668E-3</v>
      </c>
      <c r="AG37" s="227">
        <f t="shared" si="3"/>
        <v>1.6666666666666668E-3</v>
      </c>
      <c r="AH37" s="227">
        <f t="shared" si="3"/>
        <v>1.6666666666666668E-3</v>
      </c>
      <c r="AI37" s="227">
        <f t="shared" si="3"/>
        <v>1.6666666666666668E-3</v>
      </c>
      <c r="AJ37" s="227">
        <f t="shared" si="3"/>
        <v>1.6666666666666668E-3</v>
      </c>
      <c r="AK37" s="227">
        <f t="shared" si="3"/>
        <v>1.6666666666666668E-3</v>
      </c>
      <c r="AL37" s="227">
        <f t="shared" si="3"/>
        <v>1.6666666666666668E-3</v>
      </c>
      <c r="AM37" s="227">
        <f t="shared" si="3"/>
        <v>1.6666666666666668E-3</v>
      </c>
      <c r="AN37" s="227">
        <f t="shared" si="3"/>
        <v>1.6666666666666668E-3</v>
      </c>
      <c r="AO37" s="227">
        <f t="shared" si="3"/>
        <v>1.6666666666666668E-3</v>
      </c>
      <c r="AP37" s="227">
        <f t="shared" si="3"/>
        <v>1.6666666666666668E-3</v>
      </c>
      <c r="AQ37" s="227">
        <f t="shared" si="3"/>
        <v>1.6666666666666668E-3</v>
      </c>
      <c r="AR37" s="227">
        <f t="shared" si="3"/>
        <v>1.6666666666666668E-3</v>
      </c>
      <c r="AS37" s="227">
        <f t="shared" si="3"/>
        <v>1.6666666666666668E-3</v>
      </c>
      <c r="AT37" s="227">
        <f t="shared" si="3"/>
        <v>1.6666666666666668E-3</v>
      </c>
      <c r="AU37" s="227">
        <f t="shared" si="3"/>
        <v>1.6666666666666668E-3</v>
      </c>
      <c r="AV37" s="227">
        <f t="shared" si="3"/>
        <v>1.6666666666666668E-3</v>
      </c>
      <c r="AW37" s="227">
        <f t="shared" si="3"/>
        <v>1.6666666666666668E-3</v>
      </c>
      <c r="AX37" s="227">
        <f t="shared" si="3"/>
        <v>1.6666666666666668E-3</v>
      </c>
      <c r="AY37" s="227">
        <f t="shared" si="3"/>
        <v>1.6666666666666668E-3</v>
      </c>
    </row>
    <row r="38" spans="1:51" s="210" customFormat="1" ht="16.5" thickBot="1" x14ac:dyDescent="0.3">
      <c r="A38" s="210" t="s">
        <v>164</v>
      </c>
      <c r="B38" s="212"/>
      <c r="C38" s="211"/>
      <c r="D38" s="228">
        <f>(1+D37)^0.5</f>
        <v>1.0008329864001619</v>
      </c>
      <c r="E38" s="229">
        <f t="shared" ref="E38:O38" si="4">D38*(1+E37)</f>
        <v>1.0025010413774955</v>
      </c>
      <c r="F38" s="229">
        <f t="shared" si="4"/>
        <v>1.004171876446458</v>
      </c>
      <c r="G38" s="229">
        <f t="shared" si="4"/>
        <v>1.0058454962405354</v>
      </c>
      <c r="H38" s="229">
        <f t="shared" si="4"/>
        <v>1.0075219054009363</v>
      </c>
      <c r="I38" s="229">
        <f t="shared" si="4"/>
        <v>1.0092011085766046</v>
      </c>
      <c r="J38" s="229">
        <f t="shared" si="4"/>
        <v>1.0108831104242324</v>
      </c>
      <c r="K38" s="229">
        <f t="shared" si="4"/>
        <v>1.0125679156082728</v>
      </c>
      <c r="L38" s="229">
        <f t="shared" si="4"/>
        <v>1.0142555288009532</v>
      </c>
      <c r="M38" s="229">
        <f t="shared" si="4"/>
        <v>1.0159459546822882</v>
      </c>
      <c r="N38" s="229">
        <f t="shared" si="4"/>
        <v>1.0176391979400921</v>
      </c>
      <c r="O38" s="229">
        <f t="shared" si="4"/>
        <v>1.0193352632699924</v>
      </c>
      <c r="P38" s="229">
        <f t="shared" ref="P38:AY38" si="5">O38*(1+P37)</f>
        <v>1.0210341553754423</v>
      </c>
      <c r="Q38" s="229">
        <f t="shared" si="5"/>
        <v>1.0227358789677348</v>
      </c>
      <c r="R38" s="229">
        <f t="shared" si="5"/>
        <v>1.0244404387660144</v>
      </c>
      <c r="S38" s="229">
        <f t="shared" si="5"/>
        <v>1.0261478394972912</v>
      </c>
      <c r="T38" s="229">
        <f t="shared" si="5"/>
        <v>1.0278580858964534</v>
      </c>
      <c r="U38" s="229">
        <f t="shared" si="5"/>
        <v>1.029571182706281</v>
      </c>
      <c r="V38" s="229">
        <f t="shared" si="5"/>
        <v>1.0312871346774581</v>
      </c>
      <c r="W38" s="229">
        <f t="shared" si="5"/>
        <v>1.0330059465685872</v>
      </c>
      <c r="X38" s="229">
        <f t="shared" si="5"/>
        <v>1.0347276231462017</v>
      </c>
      <c r="Y38" s="229">
        <f t="shared" si="5"/>
        <v>1.0364521691847788</v>
      </c>
      <c r="Z38" s="229">
        <f t="shared" si="5"/>
        <v>1.0381795894667534</v>
      </c>
      <c r="AA38" s="229">
        <f t="shared" si="5"/>
        <v>1.0399098887825313</v>
      </c>
      <c r="AB38" s="229">
        <f t="shared" si="5"/>
        <v>1.0416430719305023</v>
      </c>
      <c r="AC38" s="229">
        <f t="shared" si="5"/>
        <v>1.0433791437170532</v>
      </c>
      <c r="AD38" s="229">
        <f t="shared" si="5"/>
        <v>1.0451181089565817</v>
      </c>
      <c r="AE38" s="229">
        <f t="shared" si="5"/>
        <v>1.0468599724715095</v>
      </c>
      <c r="AF38" s="229">
        <f t="shared" si="5"/>
        <v>1.0486047390922955</v>
      </c>
      <c r="AG38" s="229">
        <f t="shared" si="5"/>
        <v>1.0503524136574494</v>
      </c>
      <c r="AH38" s="229">
        <f t="shared" si="5"/>
        <v>1.052103001013545</v>
      </c>
      <c r="AI38" s="229">
        <f t="shared" si="5"/>
        <v>1.0538565060152343</v>
      </c>
      <c r="AJ38" s="229">
        <f t="shared" si="5"/>
        <v>1.0556129335252598</v>
      </c>
      <c r="AK38" s="229">
        <f t="shared" si="5"/>
        <v>1.0573722884144685</v>
      </c>
      <c r="AL38" s="229">
        <f t="shared" si="5"/>
        <v>1.059134575561826</v>
      </c>
      <c r="AM38" s="229">
        <f t="shared" si="5"/>
        <v>1.0608997998544292</v>
      </c>
      <c r="AN38" s="229">
        <f t="shared" si="5"/>
        <v>1.06266796618752</v>
      </c>
      <c r="AO38" s="229">
        <f t="shared" si="5"/>
        <v>1.0644390794644993</v>
      </c>
      <c r="AP38" s="229">
        <f t="shared" si="5"/>
        <v>1.0662131445969403</v>
      </c>
      <c r="AQ38" s="229">
        <f t="shared" si="5"/>
        <v>1.0679901665046019</v>
      </c>
      <c r="AR38" s="229">
        <f t="shared" si="5"/>
        <v>1.0697701501154429</v>
      </c>
      <c r="AS38" s="229">
        <f t="shared" si="5"/>
        <v>1.0715531003656353</v>
      </c>
      <c r="AT38" s="229">
        <f t="shared" si="5"/>
        <v>1.073339022199578</v>
      </c>
      <c r="AU38" s="229">
        <f t="shared" si="5"/>
        <v>1.0751279205699107</v>
      </c>
      <c r="AV38" s="229">
        <f t="shared" si="5"/>
        <v>1.0769198004375273</v>
      </c>
      <c r="AW38" s="229">
        <f t="shared" si="5"/>
        <v>1.0787146667715899</v>
      </c>
      <c r="AX38" s="229">
        <f t="shared" si="5"/>
        <v>1.0805125245495426</v>
      </c>
      <c r="AY38" s="229">
        <f t="shared" si="5"/>
        <v>1.0823133787571253</v>
      </c>
    </row>
    <row r="39" spans="1:51" s="207" customFormat="1" ht="35.25" customHeight="1" thickBot="1" x14ac:dyDescent="0.3">
      <c r="A39" s="209" t="s">
        <v>143</v>
      </c>
      <c r="B39" s="198" t="s">
        <v>161</v>
      </c>
      <c r="C39" s="201">
        <f>SUM(D39:AY39)</f>
        <v>57911.821644633543</v>
      </c>
      <c r="D39" s="208">
        <f t="shared" ref="D39:O39" si="6">D34*D38</f>
        <v>-1100.9162850401781</v>
      </c>
      <c r="E39" s="190">
        <f t="shared" si="6"/>
        <v>-5659.5740608674969</v>
      </c>
      <c r="F39" s="190">
        <f t="shared" si="6"/>
        <v>-9320.540780471214</v>
      </c>
      <c r="G39" s="190">
        <f t="shared" si="6"/>
        <v>-12993.695001434553</v>
      </c>
      <c r="H39" s="190">
        <f t="shared" si="6"/>
        <v>-6603.848125400682</v>
      </c>
      <c r="I39" s="190">
        <f t="shared" si="6"/>
        <v>-27532.841153076275</v>
      </c>
      <c r="J39" s="190">
        <f t="shared" si="6"/>
        <v>1118.4043139875369</v>
      </c>
      <c r="K39" s="190">
        <f t="shared" si="6"/>
        <v>423.16133709556641</v>
      </c>
      <c r="L39" s="190">
        <f t="shared" si="6"/>
        <v>670.0264228307168</v>
      </c>
      <c r="M39" s="190">
        <f t="shared" si="6"/>
        <v>942.37022505696552</v>
      </c>
      <c r="N39" s="190">
        <f t="shared" si="6"/>
        <v>1242.7878924401987</v>
      </c>
      <c r="O39" s="190">
        <f t="shared" si="6"/>
        <v>1410.3584533334422</v>
      </c>
      <c r="P39" s="190">
        <f t="shared" ref="P39:AY39" si="7">P34*P38</f>
        <v>1415.0435476662087</v>
      </c>
      <c r="Q39" s="190">
        <f t="shared" si="7"/>
        <v>1718.0472707202982</v>
      </c>
      <c r="R39" s="190">
        <f t="shared" si="7"/>
        <v>2460.823158993026</v>
      </c>
      <c r="S39" s="190">
        <f t="shared" si="7"/>
        <v>2465.7202127423716</v>
      </c>
      <c r="T39" s="190">
        <f t="shared" si="7"/>
        <v>2470.6101500519521</v>
      </c>
      <c r="U39" s="190">
        <f t="shared" si="7"/>
        <v>2475.4932524236183</v>
      </c>
      <c r="V39" s="190">
        <f t="shared" si="7"/>
        <v>2480.3697961954222</v>
      </c>
      <c r="W39" s="190">
        <f t="shared" si="7"/>
        <v>2485.2400526411689</v>
      </c>
      <c r="X39" s="190">
        <f t="shared" si="7"/>
        <v>2490.1042880680634</v>
      </c>
      <c r="Y39" s="190">
        <f t="shared" si="7"/>
        <v>2494.9627639124783</v>
      </c>
      <c r="Z39" s="190">
        <f t="shared" si="7"/>
        <v>2499.8157368338861</v>
      </c>
      <c r="AA39" s="190">
        <f t="shared" si="7"/>
        <v>2504.6634588069878</v>
      </c>
      <c r="AB39" s="190">
        <f t="shared" si="7"/>
        <v>2509.5061772120703</v>
      </c>
      <c r="AC39" s="190">
        <f t="shared" si="7"/>
        <v>2514.3441349236327</v>
      </c>
      <c r="AD39" s="190">
        <f t="shared" si="7"/>
        <v>2519.1775703973126</v>
      </c>
      <c r="AE39" s="190">
        <f t="shared" si="7"/>
        <v>2524.0067177551409</v>
      </c>
      <c r="AF39" s="190">
        <f t="shared" si="7"/>
        <v>2528.8318068691619</v>
      </c>
      <c r="AG39" s="190">
        <f t="shared" si="7"/>
        <v>2533.6530634434471</v>
      </c>
      <c r="AH39" s="190">
        <f t="shared" si="7"/>
        <v>2538.4707090945381</v>
      </c>
      <c r="AI39" s="190">
        <f t="shared" si="7"/>
        <v>2543.2849614303395</v>
      </c>
      <c r="AJ39" s="190">
        <f t="shared" si="7"/>
        <v>2548.0960341275054</v>
      </c>
      <c r="AK39" s="190">
        <f t="shared" si="7"/>
        <v>2552.904137007336</v>
      </c>
      <c r="AL39" s="190">
        <f t="shared" si="7"/>
        <v>2557.7094761102135</v>
      </c>
      <c r="AM39" s="190">
        <f t="shared" si="7"/>
        <v>2562.5122537686243</v>
      </c>
      <c r="AN39" s="190">
        <f t="shared" si="7"/>
        <v>2567.3126686787605</v>
      </c>
      <c r="AO39" s="190">
        <f t="shared" si="7"/>
        <v>2572.1109159707562</v>
      </c>
      <c r="AP39" s="190">
        <f t="shared" si="7"/>
        <v>2576.9071872775844</v>
      </c>
      <c r="AQ39" s="190">
        <f t="shared" si="7"/>
        <v>2581.7016708026167</v>
      </c>
      <c r="AR39" s="190">
        <f t="shared" si="7"/>
        <v>2586.4945513858947</v>
      </c>
      <c r="AS39" s="190">
        <f t="shared" si="7"/>
        <v>2591.2860105691266</v>
      </c>
      <c r="AT39" s="190">
        <f t="shared" si="7"/>
        <v>2596.0762266594438</v>
      </c>
      <c r="AU39" s="190">
        <f t="shared" si="7"/>
        <v>2600.8653747919152</v>
      </c>
      <c r="AV39" s="190">
        <f t="shared" si="7"/>
        <v>2605.6536269908938</v>
      </c>
      <c r="AW39" s="190">
        <f t="shared" si="7"/>
        <v>2610.4411522301471</v>
      </c>
      <c r="AX39" s="190">
        <f t="shared" si="7"/>
        <v>3616.4416631507024</v>
      </c>
      <c r="AY39" s="190">
        <f t="shared" si="7"/>
        <v>27417.446626476878</v>
      </c>
    </row>
    <row r="40" spans="1:51" s="157" customFormat="1" ht="39.75" customHeight="1" x14ac:dyDescent="0.35">
      <c r="A40" s="206" t="s">
        <v>142</v>
      </c>
      <c r="B40" s="159"/>
      <c r="C40" s="147"/>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row>
    <row r="41" spans="1:51" s="199" customFormat="1" ht="23.25" x14ac:dyDescent="0.35">
      <c r="A41" s="205" t="s">
        <v>141</v>
      </c>
      <c r="B41" s="198" t="s">
        <v>161</v>
      </c>
      <c r="C41" s="201">
        <f>SUM(D41:AY41)</f>
        <v>-63211.415406290398</v>
      </c>
      <c r="D41" s="204">
        <f t="shared" ref="D41:O41" si="8">IF(D39&lt;0,D39,0)</f>
        <v>-1100.9162850401781</v>
      </c>
      <c r="E41" s="204">
        <f t="shared" si="8"/>
        <v>-5659.5740608674969</v>
      </c>
      <c r="F41" s="204">
        <f t="shared" si="8"/>
        <v>-9320.540780471214</v>
      </c>
      <c r="G41" s="204">
        <f t="shared" si="8"/>
        <v>-12993.695001434553</v>
      </c>
      <c r="H41" s="204">
        <f t="shared" si="8"/>
        <v>-6603.848125400682</v>
      </c>
      <c r="I41" s="204">
        <f t="shared" si="8"/>
        <v>-27532.841153076275</v>
      </c>
      <c r="J41" s="204">
        <f t="shared" si="8"/>
        <v>0</v>
      </c>
      <c r="K41" s="204">
        <f t="shared" si="8"/>
        <v>0</v>
      </c>
      <c r="L41" s="204">
        <f t="shared" si="8"/>
        <v>0</v>
      </c>
      <c r="M41" s="204">
        <f t="shared" si="8"/>
        <v>0</v>
      </c>
      <c r="N41" s="204">
        <f t="shared" si="8"/>
        <v>0</v>
      </c>
      <c r="O41" s="204">
        <f t="shared" si="8"/>
        <v>0</v>
      </c>
      <c r="P41" s="204">
        <f t="shared" ref="P41:AY41" si="9">IF(P39&lt;0,P39,0)</f>
        <v>0</v>
      </c>
      <c r="Q41" s="204">
        <f t="shared" si="9"/>
        <v>0</v>
      </c>
      <c r="R41" s="204">
        <f t="shared" si="9"/>
        <v>0</v>
      </c>
      <c r="S41" s="204">
        <f t="shared" si="9"/>
        <v>0</v>
      </c>
      <c r="T41" s="204">
        <f t="shared" si="9"/>
        <v>0</v>
      </c>
      <c r="U41" s="204">
        <f t="shared" si="9"/>
        <v>0</v>
      </c>
      <c r="V41" s="204">
        <f t="shared" si="9"/>
        <v>0</v>
      </c>
      <c r="W41" s="204">
        <f t="shared" si="9"/>
        <v>0</v>
      </c>
      <c r="X41" s="204">
        <f t="shared" si="9"/>
        <v>0</v>
      </c>
      <c r="Y41" s="204">
        <f t="shared" si="9"/>
        <v>0</v>
      </c>
      <c r="Z41" s="204">
        <f t="shared" si="9"/>
        <v>0</v>
      </c>
      <c r="AA41" s="204">
        <f t="shared" si="9"/>
        <v>0</v>
      </c>
      <c r="AB41" s="204">
        <f t="shared" si="9"/>
        <v>0</v>
      </c>
      <c r="AC41" s="204">
        <f t="shared" si="9"/>
        <v>0</v>
      </c>
      <c r="AD41" s="204">
        <f t="shared" si="9"/>
        <v>0</v>
      </c>
      <c r="AE41" s="204">
        <f t="shared" si="9"/>
        <v>0</v>
      </c>
      <c r="AF41" s="204">
        <f t="shared" si="9"/>
        <v>0</v>
      </c>
      <c r="AG41" s="204">
        <f t="shared" si="9"/>
        <v>0</v>
      </c>
      <c r="AH41" s="204">
        <f t="shared" si="9"/>
        <v>0</v>
      </c>
      <c r="AI41" s="204">
        <f t="shared" si="9"/>
        <v>0</v>
      </c>
      <c r="AJ41" s="204">
        <f t="shared" si="9"/>
        <v>0</v>
      </c>
      <c r="AK41" s="204">
        <f t="shared" si="9"/>
        <v>0</v>
      </c>
      <c r="AL41" s="204">
        <f t="shared" si="9"/>
        <v>0</v>
      </c>
      <c r="AM41" s="204">
        <f t="shared" si="9"/>
        <v>0</v>
      </c>
      <c r="AN41" s="204">
        <f t="shared" si="9"/>
        <v>0</v>
      </c>
      <c r="AO41" s="204">
        <f t="shared" si="9"/>
        <v>0</v>
      </c>
      <c r="AP41" s="204">
        <f t="shared" si="9"/>
        <v>0</v>
      </c>
      <c r="AQ41" s="204">
        <f t="shared" si="9"/>
        <v>0</v>
      </c>
      <c r="AR41" s="204">
        <f t="shared" si="9"/>
        <v>0</v>
      </c>
      <c r="AS41" s="204">
        <f t="shared" si="9"/>
        <v>0</v>
      </c>
      <c r="AT41" s="204">
        <f t="shared" si="9"/>
        <v>0</v>
      </c>
      <c r="AU41" s="204">
        <f t="shared" si="9"/>
        <v>0</v>
      </c>
      <c r="AV41" s="204">
        <f t="shared" si="9"/>
        <v>0</v>
      </c>
      <c r="AW41" s="204">
        <f t="shared" si="9"/>
        <v>0</v>
      </c>
      <c r="AX41" s="204">
        <f t="shared" si="9"/>
        <v>0</v>
      </c>
      <c r="AY41" s="204">
        <f t="shared" si="9"/>
        <v>0</v>
      </c>
    </row>
    <row r="42" spans="1:51" s="199" customFormat="1" ht="23.25" x14ac:dyDescent="0.35">
      <c r="A42" s="203"/>
      <c r="B42" s="202"/>
      <c r="C42" s="201"/>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row>
    <row r="43" spans="1:51" s="170" customFormat="1" ht="61.35" customHeight="1" x14ac:dyDescent="0.25">
      <c r="A43" s="174" t="s">
        <v>140</v>
      </c>
      <c r="B43" s="173"/>
      <c r="C43" s="172"/>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row>
    <row r="44" spans="1:51" s="157" customFormat="1" ht="23.25" x14ac:dyDescent="0.35">
      <c r="A44" s="184" t="s">
        <v>139</v>
      </c>
      <c r="B44" s="159"/>
      <c r="C44" s="147"/>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row>
    <row r="45" spans="1:51" s="157" customFormat="1" x14ac:dyDescent="0.25">
      <c r="A45" s="144" t="s">
        <v>165</v>
      </c>
      <c r="B45" s="159"/>
      <c r="C45" s="147"/>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row>
    <row r="46" spans="1:51" s="191" customFormat="1" x14ac:dyDescent="0.25">
      <c r="A46" s="193" t="s">
        <v>138</v>
      </c>
      <c r="B46" s="185" t="s">
        <v>161</v>
      </c>
      <c r="C46" s="147"/>
      <c r="D46" s="194">
        <v>15000</v>
      </c>
      <c r="E46" s="194">
        <f t="shared" ref="E46:O46" si="10">D46</f>
        <v>15000</v>
      </c>
      <c r="F46" s="194">
        <f t="shared" si="10"/>
        <v>15000</v>
      </c>
      <c r="G46" s="194">
        <f t="shared" si="10"/>
        <v>15000</v>
      </c>
      <c r="H46" s="194">
        <f t="shared" si="10"/>
        <v>15000</v>
      </c>
      <c r="I46" s="194">
        <f t="shared" si="10"/>
        <v>15000</v>
      </c>
      <c r="J46" s="194">
        <f t="shared" si="10"/>
        <v>15000</v>
      </c>
      <c r="K46" s="194">
        <f t="shared" si="10"/>
        <v>15000</v>
      </c>
      <c r="L46" s="194">
        <f t="shared" si="10"/>
        <v>15000</v>
      </c>
      <c r="M46" s="194">
        <f t="shared" si="10"/>
        <v>15000</v>
      </c>
      <c r="N46" s="194">
        <f t="shared" si="10"/>
        <v>15000</v>
      </c>
      <c r="O46" s="194">
        <f t="shared" si="10"/>
        <v>15000</v>
      </c>
      <c r="P46" s="194">
        <f t="shared" ref="P46:AY46" si="11">O46</f>
        <v>15000</v>
      </c>
      <c r="Q46" s="194">
        <f t="shared" si="11"/>
        <v>15000</v>
      </c>
      <c r="R46" s="194">
        <f t="shared" si="11"/>
        <v>15000</v>
      </c>
      <c r="S46" s="194">
        <f t="shared" si="11"/>
        <v>15000</v>
      </c>
      <c r="T46" s="194">
        <f t="shared" si="11"/>
        <v>15000</v>
      </c>
      <c r="U46" s="194">
        <f t="shared" si="11"/>
        <v>15000</v>
      </c>
      <c r="V46" s="194">
        <f t="shared" si="11"/>
        <v>15000</v>
      </c>
      <c r="W46" s="194">
        <f t="shared" si="11"/>
        <v>15000</v>
      </c>
      <c r="X46" s="194">
        <f t="shared" si="11"/>
        <v>15000</v>
      </c>
      <c r="Y46" s="194">
        <f t="shared" si="11"/>
        <v>15000</v>
      </c>
      <c r="Z46" s="194">
        <f t="shared" si="11"/>
        <v>15000</v>
      </c>
      <c r="AA46" s="194">
        <f t="shared" si="11"/>
        <v>15000</v>
      </c>
      <c r="AB46" s="194">
        <f t="shared" si="11"/>
        <v>15000</v>
      </c>
      <c r="AC46" s="194">
        <f t="shared" si="11"/>
        <v>15000</v>
      </c>
      <c r="AD46" s="194">
        <f t="shared" si="11"/>
        <v>15000</v>
      </c>
      <c r="AE46" s="194">
        <f t="shared" si="11"/>
        <v>15000</v>
      </c>
      <c r="AF46" s="194">
        <f t="shared" si="11"/>
        <v>15000</v>
      </c>
      <c r="AG46" s="194">
        <f t="shared" si="11"/>
        <v>15000</v>
      </c>
      <c r="AH46" s="194">
        <f t="shared" si="11"/>
        <v>15000</v>
      </c>
      <c r="AI46" s="194">
        <f t="shared" si="11"/>
        <v>15000</v>
      </c>
      <c r="AJ46" s="194">
        <f t="shared" si="11"/>
        <v>15000</v>
      </c>
      <c r="AK46" s="194">
        <f t="shared" si="11"/>
        <v>15000</v>
      </c>
      <c r="AL46" s="194">
        <f t="shared" si="11"/>
        <v>15000</v>
      </c>
      <c r="AM46" s="194">
        <f t="shared" si="11"/>
        <v>15000</v>
      </c>
      <c r="AN46" s="194">
        <f t="shared" si="11"/>
        <v>15000</v>
      </c>
      <c r="AO46" s="194">
        <f t="shared" si="11"/>
        <v>15000</v>
      </c>
      <c r="AP46" s="194">
        <f t="shared" si="11"/>
        <v>15000</v>
      </c>
      <c r="AQ46" s="194">
        <f t="shared" si="11"/>
        <v>15000</v>
      </c>
      <c r="AR46" s="194">
        <f t="shared" si="11"/>
        <v>15000</v>
      </c>
      <c r="AS46" s="194">
        <f t="shared" si="11"/>
        <v>15000</v>
      </c>
      <c r="AT46" s="194">
        <f t="shared" si="11"/>
        <v>15000</v>
      </c>
      <c r="AU46" s="194">
        <f t="shared" si="11"/>
        <v>15000</v>
      </c>
      <c r="AV46" s="194">
        <f t="shared" si="11"/>
        <v>15000</v>
      </c>
      <c r="AW46" s="194">
        <f t="shared" si="11"/>
        <v>15000</v>
      </c>
      <c r="AX46" s="194">
        <f t="shared" si="11"/>
        <v>15000</v>
      </c>
      <c r="AY46" s="194">
        <f t="shared" si="11"/>
        <v>15000</v>
      </c>
    </row>
    <row r="47" spans="1:51" s="178" customFormat="1" ht="23.25" x14ac:dyDescent="0.25">
      <c r="A47" s="182" t="str">
        <f>A44</f>
        <v>4 a. Donations</v>
      </c>
      <c r="B47" s="181" t="s">
        <v>162</v>
      </c>
      <c r="C47" s="180">
        <f>SUM(D47:AY47)</f>
        <v>15000</v>
      </c>
      <c r="D47" s="179">
        <f>IF(D34&gt;0,D46,0)</f>
        <v>0</v>
      </c>
      <c r="E47" s="179">
        <f>IF(AND(SUM($D47:D47)=0,E34&gt;0),E46,0)</f>
        <v>0</v>
      </c>
      <c r="F47" s="179">
        <f>IF(AND(SUM($D47:E47)=0,F34&gt;0),F46,0)</f>
        <v>0</v>
      </c>
      <c r="G47" s="179">
        <f>IF(AND(SUM($D47:F47)=0,G34&gt;0),G46,0)</f>
        <v>0</v>
      </c>
      <c r="H47" s="179">
        <f>IF(AND(SUM($D47:G47)=0,H34&gt;0),H46,0)</f>
        <v>0</v>
      </c>
      <c r="I47" s="179">
        <f>IF(AND(SUM($D47:H47)=0,I34&gt;0),I46,0)</f>
        <v>0</v>
      </c>
      <c r="J47" s="179">
        <f>IF(AND(SUM($D47:I47)=0,J34&gt;0),J46,0)</f>
        <v>15000</v>
      </c>
      <c r="K47" s="179">
        <f>IF(AND(SUM($D47:J47)=0,K34&gt;0),K46,0)</f>
        <v>0</v>
      </c>
      <c r="L47" s="179">
        <f>IF(AND(SUM($D47:K47)=0,L34&gt;0),L46,0)</f>
        <v>0</v>
      </c>
      <c r="M47" s="179">
        <f>IF(AND(SUM($D47:L47)=0,M34&gt;0),M46,0)</f>
        <v>0</v>
      </c>
      <c r="N47" s="179">
        <f>IF(AND(SUM($D47:M47)=0,N34&gt;0),N46,0)</f>
        <v>0</v>
      </c>
      <c r="O47" s="179">
        <f>IF(AND(SUM($D47:N47)=0,O34&gt;0),O46,0)</f>
        <v>0</v>
      </c>
      <c r="P47" s="179">
        <f>IF(AND(SUM($D47:O47)=0,P34&gt;0),P46,0)</f>
        <v>0</v>
      </c>
      <c r="Q47" s="179">
        <f>IF(AND(SUM($D47:P47)=0,Q34&gt;0),Q46,0)</f>
        <v>0</v>
      </c>
      <c r="R47" s="179">
        <f>IF(AND(SUM($D47:Q47)=0,R34&gt;0),R46,0)</f>
        <v>0</v>
      </c>
      <c r="S47" s="179">
        <f>IF(AND(SUM($D47:R47)=0,S34&gt;0),S46,0)</f>
        <v>0</v>
      </c>
      <c r="T47" s="179">
        <f>IF(AND(SUM($D47:S47)=0,T34&gt;0),T46,0)</f>
        <v>0</v>
      </c>
      <c r="U47" s="179">
        <f>IF(AND(SUM($D47:T47)=0,U34&gt;0),U46,0)</f>
        <v>0</v>
      </c>
      <c r="V47" s="179">
        <f>IF(AND(SUM($D47:U47)=0,V34&gt;0),V46,0)</f>
        <v>0</v>
      </c>
      <c r="W47" s="179">
        <f>IF(AND(SUM($D47:V47)=0,W34&gt;0),W46,0)</f>
        <v>0</v>
      </c>
      <c r="X47" s="179">
        <f>IF(AND(SUM($D47:W47)=0,X34&gt;0),X46,0)</f>
        <v>0</v>
      </c>
      <c r="Y47" s="179">
        <f>IF(AND(SUM($D47:X47)=0,Y34&gt;0),Y46,0)</f>
        <v>0</v>
      </c>
      <c r="Z47" s="179">
        <f>IF(AND(SUM($D47:Y47)=0,Z34&gt;0),Z46,0)</f>
        <v>0</v>
      </c>
      <c r="AA47" s="179">
        <f>IF(AND(SUM($D47:Z47)=0,AA34&gt;0),AA46,0)</f>
        <v>0</v>
      </c>
      <c r="AB47" s="179">
        <f>IF(AND(SUM($D47:AA47)=0,AB34&gt;0),AB46,0)</f>
        <v>0</v>
      </c>
      <c r="AC47" s="179">
        <f>IF(AND(SUM($D47:AB47)=0,AC34&gt;0),AC46,0)</f>
        <v>0</v>
      </c>
      <c r="AD47" s="179">
        <f>IF(AND(SUM($D47:AC47)=0,AD34&gt;0),AD46,0)</f>
        <v>0</v>
      </c>
      <c r="AE47" s="179">
        <f>IF(AND(SUM($D47:AD47)=0,AE34&gt;0),AE46,0)</f>
        <v>0</v>
      </c>
      <c r="AF47" s="179">
        <f>IF(AND(SUM($D47:AE47)=0,AF34&gt;0),AF46,0)</f>
        <v>0</v>
      </c>
      <c r="AG47" s="179">
        <f>IF(AND(SUM($D47:AF47)=0,AG34&gt;0),AG46,0)</f>
        <v>0</v>
      </c>
      <c r="AH47" s="179">
        <f>IF(AND(SUM($D47:AG47)=0,AH34&gt;0),AH46,0)</f>
        <v>0</v>
      </c>
      <c r="AI47" s="179">
        <f>IF(AND(SUM($D47:AH47)=0,AI34&gt;0),AI46,0)</f>
        <v>0</v>
      </c>
      <c r="AJ47" s="179">
        <f>IF(AND(SUM($D47:AI47)=0,AJ34&gt;0),AJ46,0)</f>
        <v>0</v>
      </c>
      <c r="AK47" s="179">
        <f>IF(AND(SUM($D47:AJ47)=0,AK34&gt;0),AK46,0)</f>
        <v>0</v>
      </c>
      <c r="AL47" s="179">
        <f>IF(AND(SUM($D47:AK47)=0,AL34&gt;0),AL46,0)</f>
        <v>0</v>
      </c>
      <c r="AM47" s="179">
        <f>IF(AND(SUM($D47:AL47)=0,AM34&gt;0),AM46,0)</f>
        <v>0</v>
      </c>
      <c r="AN47" s="179">
        <f>IF(AND(SUM($D47:AM47)=0,AN34&gt;0),AN46,0)</f>
        <v>0</v>
      </c>
      <c r="AO47" s="179">
        <f>IF(AND(SUM($D47:AN47)=0,AO34&gt;0),AO46,0)</f>
        <v>0</v>
      </c>
      <c r="AP47" s="179">
        <f>IF(AND(SUM($D47:AO47)=0,AP34&gt;0),AP46,0)</f>
        <v>0</v>
      </c>
      <c r="AQ47" s="179">
        <f>IF(AND(SUM($D47:AP47)=0,AQ34&gt;0),AQ46,0)</f>
        <v>0</v>
      </c>
      <c r="AR47" s="179">
        <f>IF(AND(SUM($D47:AQ47)=0,AR34&gt;0),AR46,0)</f>
        <v>0</v>
      </c>
      <c r="AS47" s="179">
        <f>IF(AND(SUM($D47:AR47)=0,AS34&gt;0),AS46,0)</f>
        <v>0</v>
      </c>
      <c r="AT47" s="179">
        <f>IF(AND(SUM($D47:AS47)=0,AT34&gt;0),AT46,0)</f>
        <v>0</v>
      </c>
      <c r="AU47" s="179">
        <f>IF(AND(SUM($D47:AT47)=0,AU34&gt;0),AU46,0)</f>
        <v>0</v>
      </c>
      <c r="AV47" s="179">
        <f>IF(AND(SUM($D47:AU47)=0,AV34&gt;0),AV46,0)</f>
        <v>0</v>
      </c>
      <c r="AW47" s="179">
        <f>IF(AND(SUM($D47:AV47)=0,AW34&gt;0),AW46,0)</f>
        <v>0</v>
      </c>
      <c r="AX47" s="179">
        <f>IF(AND(SUM($D47:AW47)=0,AX34&gt;0),AX46,0)</f>
        <v>0</v>
      </c>
      <c r="AY47" s="179">
        <f>IF(AND(SUM($D47:AX47)=0,AY34&gt;0),AY46,0)</f>
        <v>0</v>
      </c>
    </row>
    <row r="48" spans="1:51" s="195" customFormat="1" ht="25.5" customHeight="1" x14ac:dyDescent="0.25">
      <c r="A48" s="195" t="s">
        <v>137</v>
      </c>
      <c r="B48" s="198" t="s">
        <v>162</v>
      </c>
      <c r="C48" s="197">
        <f>SUM(D48:AY48)</f>
        <v>72911.821644633557</v>
      </c>
      <c r="D48" s="196">
        <f t="shared" ref="D48:O48" si="12">D39+D47</f>
        <v>-1100.9162850401781</v>
      </c>
      <c r="E48" s="196">
        <f t="shared" si="12"/>
        <v>-5659.5740608674969</v>
      </c>
      <c r="F48" s="196">
        <f t="shared" si="12"/>
        <v>-9320.540780471214</v>
      </c>
      <c r="G48" s="196">
        <f t="shared" si="12"/>
        <v>-12993.695001434553</v>
      </c>
      <c r="H48" s="196">
        <f t="shared" si="12"/>
        <v>-6603.848125400682</v>
      </c>
      <c r="I48" s="196">
        <f t="shared" si="12"/>
        <v>-27532.841153076275</v>
      </c>
      <c r="J48" s="196">
        <f t="shared" si="12"/>
        <v>16118.404313987538</v>
      </c>
      <c r="K48" s="196">
        <f t="shared" si="12"/>
        <v>423.16133709556641</v>
      </c>
      <c r="L48" s="196">
        <f t="shared" si="12"/>
        <v>670.0264228307168</v>
      </c>
      <c r="M48" s="196">
        <f t="shared" si="12"/>
        <v>942.37022505696552</v>
      </c>
      <c r="N48" s="196">
        <f t="shared" si="12"/>
        <v>1242.7878924401987</v>
      </c>
      <c r="O48" s="196">
        <f t="shared" si="12"/>
        <v>1410.3584533334422</v>
      </c>
      <c r="P48" s="196">
        <f t="shared" ref="P48:AY48" si="13">P39+P47</f>
        <v>1415.0435476662087</v>
      </c>
      <c r="Q48" s="196">
        <f t="shared" si="13"/>
        <v>1718.0472707202982</v>
      </c>
      <c r="R48" s="196">
        <f t="shared" si="13"/>
        <v>2460.823158993026</v>
      </c>
      <c r="S48" s="196">
        <f t="shared" si="13"/>
        <v>2465.7202127423716</v>
      </c>
      <c r="T48" s="196">
        <f t="shared" si="13"/>
        <v>2470.6101500519521</v>
      </c>
      <c r="U48" s="196">
        <f t="shared" si="13"/>
        <v>2475.4932524236183</v>
      </c>
      <c r="V48" s="196">
        <f t="shared" si="13"/>
        <v>2480.3697961954222</v>
      </c>
      <c r="W48" s="196">
        <f t="shared" si="13"/>
        <v>2485.2400526411689</v>
      </c>
      <c r="X48" s="196">
        <f t="shared" si="13"/>
        <v>2490.1042880680634</v>
      </c>
      <c r="Y48" s="196">
        <f t="shared" si="13"/>
        <v>2494.9627639124783</v>
      </c>
      <c r="Z48" s="196">
        <f t="shared" si="13"/>
        <v>2499.8157368338861</v>
      </c>
      <c r="AA48" s="196">
        <f t="shared" si="13"/>
        <v>2504.6634588069878</v>
      </c>
      <c r="AB48" s="196">
        <f t="shared" si="13"/>
        <v>2509.5061772120703</v>
      </c>
      <c r="AC48" s="196">
        <f t="shared" si="13"/>
        <v>2514.3441349236327</v>
      </c>
      <c r="AD48" s="196">
        <f t="shared" si="13"/>
        <v>2519.1775703973126</v>
      </c>
      <c r="AE48" s="196">
        <f t="shared" si="13"/>
        <v>2524.0067177551409</v>
      </c>
      <c r="AF48" s="196">
        <f t="shared" si="13"/>
        <v>2528.8318068691619</v>
      </c>
      <c r="AG48" s="196">
        <f t="shared" si="13"/>
        <v>2533.6530634434471</v>
      </c>
      <c r="AH48" s="196">
        <f t="shared" si="13"/>
        <v>2538.4707090945381</v>
      </c>
      <c r="AI48" s="196">
        <f t="shared" si="13"/>
        <v>2543.2849614303395</v>
      </c>
      <c r="AJ48" s="196">
        <f t="shared" si="13"/>
        <v>2548.0960341275054</v>
      </c>
      <c r="AK48" s="196">
        <f t="shared" si="13"/>
        <v>2552.904137007336</v>
      </c>
      <c r="AL48" s="196">
        <f t="shared" si="13"/>
        <v>2557.7094761102135</v>
      </c>
      <c r="AM48" s="196">
        <f t="shared" si="13"/>
        <v>2562.5122537686243</v>
      </c>
      <c r="AN48" s="196">
        <f t="shared" si="13"/>
        <v>2567.3126686787605</v>
      </c>
      <c r="AO48" s="196">
        <f t="shared" si="13"/>
        <v>2572.1109159707562</v>
      </c>
      <c r="AP48" s="196">
        <f t="shared" si="13"/>
        <v>2576.9071872775844</v>
      </c>
      <c r="AQ48" s="196">
        <f t="shared" si="13"/>
        <v>2581.7016708026167</v>
      </c>
      <c r="AR48" s="196">
        <f t="shared" si="13"/>
        <v>2586.4945513858947</v>
      </c>
      <c r="AS48" s="196">
        <f t="shared" si="13"/>
        <v>2591.2860105691266</v>
      </c>
      <c r="AT48" s="196">
        <f t="shared" si="13"/>
        <v>2596.0762266594438</v>
      </c>
      <c r="AU48" s="196">
        <f t="shared" si="13"/>
        <v>2600.8653747919152</v>
      </c>
      <c r="AV48" s="196">
        <f t="shared" si="13"/>
        <v>2605.6536269908938</v>
      </c>
      <c r="AW48" s="196">
        <f t="shared" si="13"/>
        <v>2610.4411522301471</v>
      </c>
      <c r="AX48" s="196">
        <f t="shared" si="13"/>
        <v>3616.4416631507024</v>
      </c>
      <c r="AY48" s="196">
        <f t="shared" si="13"/>
        <v>27417.446626476878</v>
      </c>
    </row>
    <row r="49" spans="1:51" s="157" customFormat="1" x14ac:dyDescent="0.25">
      <c r="A49" s="144"/>
      <c r="B49" s="162"/>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row>
    <row r="50" spans="1:51" s="157" customFormat="1" ht="23.25" x14ac:dyDescent="0.35">
      <c r="A50" s="184" t="s">
        <v>136</v>
      </c>
      <c r="B50" s="159"/>
      <c r="C50" s="147"/>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row>
    <row r="51" spans="1:51" s="157" customFormat="1" x14ac:dyDescent="0.25">
      <c r="A51" s="144" t="s">
        <v>211</v>
      </c>
      <c r="B51" s="159"/>
      <c r="C51" s="147"/>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row>
    <row r="52" spans="1:51" s="191" customFormat="1" x14ac:dyDescent="0.25">
      <c r="A52" s="193" t="s">
        <v>135</v>
      </c>
      <c r="B52" s="185" t="s">
        <v>161</v>
      </c>
      <c r="C52" s="147"/>
      <c r="D52" s="194">
        <v>30000</v>
      </c>
      <c r="E52" s="194">
        <f>D52</f>
        <v>30000</v>
      </c>
      <c r="F52" s="194">
        <f t="shared" ref="F52:O52" si="14">E52</f>
        <v>30000</v>
      </c>
      <c r="G52" s="194">
        <f t="shared" si="14"/>
        <v>30000</v>
      </c>
      <c r="H52" s="194">
        <f t="shared" si="14"/>
        <v>30000</v>
      </c>
      <c r="I52" s="194">
        <f t="shared" si="14"/>
        <v>30000</v>
      </c>
      <c r="J52" s="194">
        <f t="shared" si="14"/>
        <v>30000</v>
      </c>
      <c r="K52" s="194">
        <f t="shared" si="14"/>
        <v>30000</v>
      </c>
      <c r="L52" s="194">
        <f t="shared" si="14"/>
        <v>30000</v>
      </c>
      <c r="M52" s="194">
        <f t="shared" si="14"/>
        <v>30000</v>
      </c>
      <c r="N52" s="194">
        <f t="shared" si="14"/>
        <v>30000</v>
      </c>
      <c r="O52" s="194">
        <f t="shared" si="14"/>
        <v>30000</v>
      </c>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row>
    <row r="53" spans="1:51" s="191" customFormat="1" x14ac:dyDescent="0.25">
      <c r="A53" s="193" t="s">
        <v>134</v>
      </c>
      <c r="B53" s="185" t="s">
        <v>162</v>
      </c>
      <c r="C53" s="147"/>
      <c r="D53" s="192">
        <v>0.5</v>
      </c>
      <c r="E53" s="192">
        <f>D53</f>
        <v>0.5</v>
      </c>
      <c r="F53" s="192">
        <f>E53</f>
        <v>0.5</v>
      </c>
      <c r="G53" s="192">
        <f t="shared" ref="G53:O53" si="15">F53</f>
        <v>0.5</v>
      </c>
      <c r="H53" s="192">
        <f t="shared" si="15"/>
        <v>0.5</v>
      </c>
      <c r="I53" s="192">
        <f t="shared" si="15"/>
        <v>0.5</v>
      </c>
      <c r="J53" s="192">
        <f t="shared" si="15"/>
        <v>0.5</v>
      </c>
      <c r="K53" s="192">
        <f t="shared" si="15"/>
        <v>0.5</v>
      </c>
      <c r="L53" s="192">
        <f t="shared" si="15"/>
        <v>0.5</v>
      </c>
      <c r="M53" s="192">
        <f t="shared" si="15"/>
        <v>0.5</v>
      </c>
      <c r="N53" s="192">
        <f t="shared" si="15"/>
        <v>0.5</v>
      </c>
      <c r="O53" s="192">
        <f t="shared" si="15"/>
        <v>0.5</v>
      </c>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row>
    <row r="54" spans="1:51" s="157" customFormat="1" ht="16.5" thickBot="1" x14ac:dyDescent="0.3">
      <c r="B54" s="159"/>
      <c r="C54" s="147"/>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row>
    <row r="55" spans="1:51" s="157" customFormat="1" ht="16.5" thickBot="1" x14ac:dyDescent="0.3">
      <c r="A55" s="157" t="s">
        <v>133</v>
      </c>
      <c r="B55" s="159" t="s">
        <v>162</v>
      </c>
      <c r="C55" s="147"/>
      <c r="D55" s="183">
        <v>0</v>
      </c>
      <c r="E55" s="176">
        <f t="shared" ref="E55:O55" si="16">D60</f>
        <v>550.45814252008904</v>
      </c>
      <c r="F55" s="176">
        <f t="shared" si="16"/>
        <v>3380.2451729538375</v>
      </c>
      <c r="G55" s="176">
        <f t="shared" si="16"/>
        <v>8040.5155631894449</v>
      </c>
      <c r="H55" s="176">
        <f t="shared" si="16"/>
        <v>14537.363063906721</v>
      </c>
      <c r="I55" s="176">
        <f t="shared" si="16"/>
        <v>17839.287126607062</v>
      </c>
      <c r="J55" s="176">
        <f t="shared" si="16"/>
        <v>30000</v>
      </c>
      <c r="K55" s="176">
        <f t="shared" si="16"/>
        <v>13881.595686012462</v>
      </c>
      <c r="L55" s="176">
        <f t="shared" si="16"/>
        <v>13458.434348916897</v>
      </c>
      <c r="M55" s="176">
        <f t="shared" si="16"/>
        <v>12788.40792608618</v>
      </c>
      <c r="N55" s="176">
        <f t="shared" si="16"/>
        <v>11846.037701029214</v>
      </c>
      <c r="O55" s="176">
        <f t="shared" si="16"/>
        <v>10603.249808589015</v>
      </c>
      <c r="P55" s="176">
        <f t="shared" ref="P55:AY55" si="17">O60</f>
        <v>9192.8913552555732</v>
      </c>
      <c r="Q55" s="176">
        <f t="shared" si="17"/>
        <v>7777.8478075893645</v>
      </c>
      <c r="R55" s="176">
        <f t="shared" si="17"/>
        <v>6059.8005368690665</v>
      </c>
      <c r="S55" s="176">
        <f t="shared" si="17"/>
        <v>3598.9773778760405</v>
      </c>
      <c r="T55" s="176">
        <f t="shared" si="17"/>
        <v>1133.2571651336689</v>
      </c>
      <c r="U55" s="176">
        <f t="shared" si="17"/>
        <v>0</v>
      </c>
      <c r="V55" s="176">
        <f t="shared" si="17"/>
        <v>0</v>
      </c>
      <c r="W55" s="176">
        <f t="shared" si="17"/>
        <v>0</v>
      </c>
      <c r="X55" s="176">
        <f t="shared" si="17"/>
        <v>0</v>
      </c>
      <c r="Y55" s="176">
        <f t="shared" si="17"/>
        <v>0</v>
      </c>
      <c r="Z55" s="176">
        <f t="shared" si="17"/>
        <v>0</v>
      </c>
      <c r="AA55" s="176">
        <f t="shared" si="17"/>
        <v>0</v>
      </c>
      <c r="AB55" s="176">
        <f t="shared" si="17"/>
        <v>0</v>
      </c>
      <c r="AC55" s="176">
        <f t="shared" si="17"/>
        <v>0</v>
      </c>
      <c r="AD55" s="176">
        <f t="shared" si="17"/>
        <v>0</v>
      </c>
      <c r="AE55" s="176">
        <f t="shared" si="17"/>
        <v>0</v>
      </c>
      <c r="AF55" s="176">
        <f t="shared" si="17"/>
        <v>0</v>
      </c>
      <c r="AG55" s="176">
        <f t="shared" si="17"/>
        <v>0</v>
      </c>
      <c r="AH55" s="176">
        <f t="shared" si="17"/>
        <v>0</v>
      </c>
      <c r="AI55" s="176">
        <f t="shared" si="17"/>
        <v>0</v>
      </c>
      <c r="AJ55" s="176">
        <f t="shared" si="17"/>
        <v>0</v>
      </c>
      <c r="AK55" s="176">
        <f t="shared" si="17"/>
        <v>0</v>
      </c>
      <c r="AL55" s="176">
        <f t="shared" si="17"/>
        <v>0</v>
      </c>
      <c r="AM55" s="176">
        <f t="shared" si="17"/>
        <v>0</v>
      </c>
      <c r="AN55" s="176">
        <f t="shared" si="17"/>
        <v>0</v>
      </c>
      <c r="AO55" s="176">
        <f t="shared" si="17"/>
        <v>0</v>
      </c>
      <c r="AP55" s="176">
        <f t="shared" si="17"/>
        <v>0</v>
      </c>
      <c r="AQ55" s="176">
        <f t="shared" si="17"/>
        <v>0</v>
      </c>
      <c r="AR55" s="176">
        <f t="shared" si="17"/>
        <v>0</v>
      </c>
      <c r="AS55" s="176">
        <f t="shared" si="17"/>
        <v>0</v>
      </c>
      <c r="AT55" s="176">
        <f t="shared" si="17"/>
        <v>0</v>
      </c>
      <c r="AU55" s="176">
        <f t="shared" si="17"/>
        <v>0</v>
      </c>
      <c r="AV55" s="176">
        <f t="shared" si="17"/>
        <v>0</v>
      </c>
      <c r="AW55" s="176">
        <f t="shared" si="17"/>
        <v>0</v>
      </c>
      <c r="AX55" s="176">
        <f t="shared" si="17"/>
        <v>0</v>
      </c>
      <c r="AY55" s="176">
        <f t="shared" si="17"/>
        <v>0</v>
      </c>
    </row>
    <row r="56" spans="1:51" s="157" customFormat="1" x14ac:dyDescent="0.25">
      <c r="A56" s="157" t="s">
        <v>132</v>
      </c>
      <c r="B56" s="159" t="s">
        <v>162</v>
      </c>
      <c r="C56" s="147"/>
      <c r="D56" s="176">
        <f t="shared" ref="D56:O56" si="18">MAX(D52-D55,0)</f>
        <v>30000</v>
      </c>
      <c r="E56" s="176">
        <f t="shared" si="18"/>
        <v>29449.541857479911</v>
      </c>
      <c r="F56" s="176">
        <f t="shared" si="18"/>
        <v>26619.754827046163</v>
      </c>
      <c r="G56" s="176">
        <f t="shared" si="18"/>
        <v>21959.484436810555</v>
      </c>
      <c r="H56" s="176">
        <f t="shared" si="18"/>
        <v>15462.636936093279</v>
      </c>
      <c r="I56" s="176">
        <f t="shared" si="18"/>
        <v>12160.712873392938</v>
      </c>
      <c r="J56" s="176">
        <f t="shared" si="18"/>
        <v>0</v>
      </c>
      <c r="K56" s="176">
        <f t="shared" si="18"/>
        <v>16118.404313987538</v>
      </c>
      <c r="L56" s="176">
        <f t="shared" si="18"/>
        <v>16541.565651083103</v>
      </c>
      <c r="M56" s="176">
        <f t="shared" si="18"/>
        <v>17211.59207391382</v>
      </c>
      <c r="N56" s="176">
        <f t="shared" si="18"/>
        <v>18153.962298970786</v>
      </c>
      <c r="O56" s="176">
        <f t="shared" si="18"/>
        <v>19396.750191410985</v>
      </c>
      <c r="P56" s="176">
        <f t="shared" ref="P56:AY56" si="19">MAX(P52-P55,0)</f>
        <v>0</v>
      </c>
      <c r="Q56" s="176">
        <f t="shared" si="19"/>
        <v>0</v>
      </c>
      <c r="R56" s="176">
        <f t="shared" si="19"/>
        <v>0</v>
      </c>
      <c r="S56" s="176">
        <f t="shared" si="19"/>
        <v>0</v>
      </c>
      <c r="T56" s="176">
        <f t="shared" si="19"/>
        <v>0</v>
      </c>
      <c r="U56" s="176">
        <f t="shared" si="19"/>
        <v>0</v>
      </c>
      <c r="V56" s="176">
        <f t="shared" si="19"/>
        <v>0</v>
      </c>
      <c r="W56" s="176">
        <f t="shared" si="19"/>
        <v>0</v>
      </c>
      <c r="X56" s="176">
        <f t="shared" si="19"/>
        <v>0</v>
      </c>
      <c r="Y56" s="176">
        <f t="shared" si="19"/>
        <v>0</v>
      </c>
      <c r="Z56" s="176">
        <f t="shared" si="19"/>
        <v>0</v>
      </c>
      <c r="AA56" s="176">
        <f t="shared" si="19"/>
        <v>0</v>
      </c>
      <c r="AB56" s="176">
        <f t="shared" si="19"/>
        <v>0</v>
      </c>
      <c r="AC56" s="176">
        <f t="shared" si="19"/>
        <v>0</v>
      </c>
      <c r="AD56" s="176">
        <f t="shared" si="19"/>
        <v>0</v>
      </c>
      <c r="AE56" s="176">
        <f t="shared" si="19"/>
        <v>0</v>
      </c>
      <c r="AF56" s="176">
        <f t="shared" si="19"/>
        <v>0</v>
      </c>
      <c r="AG56" s="176">
        <f t="shared" si="19"/>
        <v>0</v>
      </c>
      <c r="AH56" s="176">
        <f t="shared" si="19"/>
        <v>0</v>
      </c>
      <c r="AI56" s="176">
        <f t="shared" si="19"/>
        <v>0</v>
      </c>
      <c r="AJ56" s="176">
        <f t="shared" si="19"/>
        <v>0</v>
      </c>
      <c r="AK56" s="176">
        <f t="shared" si="19"/>
        <v>0</v>
      </c>
      <c r="AL56" s="176">
        <f t="shared" si="19"/>
        <v>0</v>
      </c>
      <c r="AM56" s="176">
        <f t="shared" si="19"/>
        <v>0</v>
      </c>
      <c r="AN56" s="176">
        <f t="shared" si="19"/>
        <v>0</v>
      </c>
      <c r="AO56" s="176">
        <f t="shared" si="19"/>
        <v>0</v>
      </c>
      <c r="AP56" s="176">
        <f t="shared" si="19"/>
        <v>0</v>
      </c>
      <c r="AQ56" s="176">
        <f t="shared" si="19"/>
        <v>0</v>
      </c>
      <c r="AR56" s="176">
        <f t="shared" si="19"/>
        <v>0</v>
      </c>
      <c r="AS56" s="176">
        <f t="shared" si="19"/>
        <v>0</v>
      </c>
      <c r="AT56" s="176">
        <f t="shared" si="19"/>
        <v>0</v>
      </c>
      <c r="AU56" s="176">
        <f t="shared" si="19"/>
        <v>0</v>
      </c>
      <c r="AV56" s="176">
        <f t="shared" si="19"/>
        <v>0</v>
      </c>
      <c r="AW56" s="176">
        <f t="shared" si="19"/>
        <v>0</v>
      </c>
      <c r="AX56" s="176">
        <f t="shared" si="19"/>
        <v>0</v>
      </c>
      <c r="AY56" s="176">
        <f t="shared" si="19"/>
        <v>0</v>
      </c>
    </row>
    <row r="57" spans="1:51" s="157" customFormat="1" x14ac:dyDescent="0.25">
      <c r="A57" s="157" t="s">
        <v>131</v>
      </c>
      <c r="B57" s="159" t="s">
        <v>162</v>
      </c>
      <c r="C57" s="147"/>
      <c r="D57" s="176">
        <f t="shared" ref="D57:O57" si="20">IF(D39&lt;0,-D39*D53,0)</f>
        <v>550.45814252008904</v>
      </c>
      <c r="E57" s="176">
        <f t="shared" si="20"/>
        <v>2829.7870304337484</v>
      </c>
      <c r="F57" s="176">
        <f t="shared" si="20"/>
        <v>4660.270390235607</v>
      </c>
      <c r="G57" s="176">
        <f t="shared" si="20"/>
        <v>6496.8475007172765</v>
      </c>
      <c r="H57" s="176">
        <f t="shared" si="20"/>
        <v>3301.924062700341</v>
      </c>
      <c r="I57" s="176">
        <f t="shared" si="20"/>
        <v>13766.420576538138</v>
      </c>
      <c r="J57" s="176">
        <f t="shared" si="20"/>
        <v>0</v>
      </c>
      <c r="K57" s="176">
        <f t="shared" si="20"/>
        <v>0</v>
      </c>
      <c r="L57" s="176">
        <f t="shared" si="20"/>
        <v>0</v>
      </c>
      <c r="M57" s="176">
        <f t="shared" si="20"/>
        <v>0</v>
      </c>
      <c r="N57" s="176">
        <f t="shared" si="20"/>
        <v>0</v>
      </c>
      <c r="O57" s="176">
        <f t="shared" si="20"/>
        <v>0</v>
      </c>
      <c r="P57" s="176">
        <f t="shared" ref="P57:AY57" si="21">IF(P39&lt;0,-P39*P53,0)</f>
        <v>0</v>
      </c>
      <c r="Q57" s="176">
        <f t="shared" si="21"/>
        <v>0</v>
      </c>
      <c r="R57" s="176">
        <f t="shared" si="21"/>
        <v>0</v>
      </c>
      <c r="S57" s="176">
        <f t="shared" si="21"/>
        <v>0</v>
      </c>
      <c r="T57" s="176">
        <f t="shared" si="21"/>
        <v>0</v>
      </c>
      <c r="U57" s="176">
        <f t="shared" si="21"/>
        <v>0</v>
      </c>
      <c r="V57" s="176">
        <f t="shared" si="21"/>
        <v>0</v>
      </c>
      <c r="W57" s="176">
        <f t="shared" si="21"/>
        <v>0</v>
      </c>
      <c r="X57" s="176">
        <f t="shared" si="21"/>
        <v>0</v>
      </c>
      <c r="Y57" s="176">
        <f t="shared" si="21"/>
        <v>0</v>
      </c>
      <c r="Z57" s="176">
        <f t="shared" si="21"/>
        <v>0</v>
      </c>
      <c r="AA57" s="176">
        <f t="shared" si="21"/>
        <v>0</v>
      </c>
      <c r="AB57" s="176">
        <f t="shared" si="21"/>
        <v>0</v>
      </c>
      <c r="AC57" s="176">
        <f t="shared" si="21"/>
        <v>0</v>
      </c>
      <c r="AD57" s="176">
        <f t="shared" si="21"/>
        <v>0</v>
      </c>
      <c r="AE57" s="176">
        <f t="shared" si="21"/>
        <v>0</v>
      </c>
      <c r="AF57" s="176">
        <f t="shared" si="21"/>
        <v>0</v>
      </c>
      <c r="AG57" s="176">
        <f t="shared" si="21"/>
        <v>0</v>
      </c>
      <c r="AH57" s="176">
        <f t="shared" si="21"/>
        <v>0</v>
      </c>
      <c r="AI57" s="176">
        <f t="shared" si="21"/>
        <v>0</v>
      </c>
      <c r="AJ57" s="176">
        <f t="shared" si="21"/>
        <v>0</v>
      </c>
      <c r="AK57" s="176">
        <f t="shared" si="21"/>
        <v>0</v>
      </c>
      <c r="AL57" s="176">
        <f t="shared" si="21"/>
        <v>0</v>
      </c>
      <c r="AM57" s="176">
        <f t="shared" si="21"/>
        <v>0</v>
      </c>
      <c r="AN57" s="176">
        <f t="shared" si="21"/>
        <v>0</v>
      </c>
      <c r="AO57" s="176">
        <f t="shared" si="21"/>
        <v>0</v>
      </c>
      <c r="AP57" s="176">
        <f t="shared" si="21"/>
        <v>0</v>
      </c>
      <c r="AQ57" s="176">
        <f t="shared" si="21"/>
        <v>0</v>
      </c>
      <c r="AR57" s="176">
        <f t="shared" si="21"/>
        <v>0</v>
      </c>
      <c r="AS57" s="176">
        <f t="shared" si="21"/>
        <v>0</v>
      </c>
      <c r="AT57" s="176">
        <f t="shared" si="21"/>
        <v>0</v>
      </c>
      <c r="AU57" s="176">
        <f t="shared" si="21"/>
        <v>0</v>
      </c>
      <c r="AV57" s="176">
        <f t="shared" si="21"/>
        <v>0</v>
      </c>
      <c r="AW57" s="176">
        <f t="shared" si="21"/>
        <v>0</v>
      </c>
      <c r="AX57" s="176">
        <f t="shared" si="21"/>
        <v>0</v>
      </c>
      <c r="AY57" s="176">
        <f t="shared" si="21"/>
        <v>0</v>
      </c>
    </row>
    <row r="58" spans="1:51" s="178" customFormat="1" ht="23.25" x14ac:dyDescent="0.25">
      <c r="A58" s="182" t="s">
        <v>130</v>
      </c>
      <c r="B58" s="181" t="s">
        <v>162</v>
      </c>
      <c r="C58" s="180">
        <f>SUM(D58:AY58)</f>
        <v>30000</v>
      </c>
      <c r="D58" s="190">
        <f t="shared" ref="D58:O58" si="22">IF(D48&lt;0,MIN(D56,D57),0)</f>
        <v>550.45814252008904</v>
      </c>
      <c r="E58" s="190">
        <f t="shared" si="22"/>
        <v>2829.7870304337484</v>
      </c>
      <c r="F58" s="190">
        <f t="shared" si="22"/>
        <v>4660.270390235607</v>
      </c>
      <c r="G58" s="190">
        <f t="shared" si="22"/>
        <v>6496.8475007172765</v>
      </c>
      <c r="H58" s="190">
        <f t="shared" si="22"/>
        <v>3301.924062700341</v>
      </c>
      <c r="I58" s="190">
        <f t="shared" si="22"/>
        <v>12160.712873392938</v>
      </c>
      <c r="J58" s="190">
        <f t="shared" si="22"/>
        <v>0</v>
      </c>
      <c r="K58" s="190">
        <f t="shared" si="22"/>
        <v>0</v>
      </c>
      <c r="L58" s="190">
        <f t="shared" si="22"/>
        <v>0</v>
      </c>
      <c r="M58" s="190">
        <f t="shared" si="22"/>
        <v>0</v>
      </c>
      <c r="N58" s="190">
        <f t="shared" si="22"/>
        <v>0</v>
      </c>
      <c r="O58" s="190">
        <f t="shared" si="22"/>
        <v>0</v>
      </c>
      <c r="P58" s="190">
        <f t="shared" ref="P58:AY58" si="23">IF(P48&lt;0,MIN(P56,P57),0)</f>
        <v>0</v>
      </c>
      <c r="Q58" s="190">
        <f t="shared" si="23"/>
        <v>0</v>
      </c>
      <c r="R58" s="190">
        <f t="shared" si="23"/>
        <v>0</v>
      </c>
      <c r="S58" s="190">
        <f t="shared" si="23"/>
        <v>0</v>
      </c>
      <c r="T58" s="190">
        <f t="shared" si="23"/>
        <v>0</v>
      </c>
      <c r="U58" s="190">
        <f t="shared" si="23"/>
        <v>0</v>
      </c>
      <c r="V58" s="190">
        <f t="shared" si="23"/>
        <v>0</v>
      </c>
      <c r="W58" s="190">
        <f t="shared" si="23"/>
        <v>0</v>
      </c>
      <c r="X58" s="190">
        <f t="shared" si="23"/>
        <v>0</v>
      </c>
      <c r="Y58" s="190">
        <f t="shared" si="23"/>
        <v>0</v>
      </c>
      <c r="Z58" s="190">
        <f t="shared" si="23"/>
        <v>0</v>
      </c>
      <c r="AA58" s="190">
        <f t="shared" si="23"/>
        <v>0</v>
      </c>
      <c r="AB58" s="190">
        <f t="shared" si="23"/>
        <v>0</v>
      </c>
      <c r="AC58" s="190">
        <f t="shared" si="23"/>
        <v>0</v>
      </c>
      <c r="AD58" s="190">
        <f t="shared" si="23"/>
        <v>0</v>
      </c>
      <c r="AE58" s="190">
        <f t="shared" si="23"/>
        <v>0</v>
      </c>
      <c r="AF58" s="190">
        <f t="shared" si="23"/>
        <v>0</v>
      </c>
      <c r="AG58" s="190">
        <f t="shared" si="23"/>
        <v>0</v>
      </c>
      <c r="AH58" s="190">
        <f t="shared" si="23"/>
        <v>0</v>
      </c>
      <c r="AI58" s="190">
        <f t="shared" si="23"/>
        <v>0</v>
      </c>
      <c r="AJ58" s="190">
        <f t="shared" si="23"/>
        <v>0</v>
      </c>
      <c r="AK58" s="190">
        <f t="shared" si="23"/>
        <v>0</v>
      </c>
      <c r="AL58" s="190">
        <f t="shared" si="23"/>
        <v>0</v>
      </c>
      <c r="AM58" s="190">
        <f t="shared" si="23"/>
        <v>0</v>
      </c>
      <c r="AN58" s="190">
        <f t="shared" si="23"/>
        <v>0</v>
      </c>
      <c r="AO58" s="190">
        <f t="shared" si="23"/>
        <v>0</v>
      </c>
      <c r="AP58" s="190">
        <f t="shared" si="23"/>
        <v>0</v>
      </c>
      <c r="AQ58" s="190">
        <f t="shared" si="23"/>
        <v>0</v>
      </c>
      <c r="AR58" s="190">
        <f t="shared" si="23"/>
        <v>0</v>
      </c>
      <c r="AS58" s="190">
        <f t="shared" si="23"/>
        <v>0</v>
      </c>
      <c r="AT58" s="190">
        <f t="shared" si="23"/>
        <v>0</v>
      </c>
      <c r="AU58" s="190">
        <f t="shared" si="23"/>
        <v>0</v>
      </c>
      <c r="AV58" s="190">
        <f t="shared" si="23"/>
        <v>0</v>
      </c>
      <c r="AW58" s="190">
        <f t="shared" si="23"/>
        <v>0</v>
      </c>
      <c r="AX58" s="190">
        <f t="shared" si="23"/>
        <v>0</v>
      </c>
      <c r="AY58" s="190">
        <f t="shared" si="23"/>
        <v>0</v>
      </c>
    </row>
    <row r="59" spans="1:51" s="188" customFormat="1" ht="23.25" x14ac:dyDescent="0.25">
      <c r="A59" s="182" t="s">
        <v>129</v>
      </c>
      <c r="B59" s="181" t="s">
        <v>162</v>
      </c>
      <c r="C59" s="180">
        <f>SUM(D59:AY59)</f>
        <v>-30000</v>
      </c>
      <c r="D59" s="189">
        <f t="shared" ref="D59:O59" si="24">-IF(D48&gt;0,MIN(D48,D55+D58),0)</f>
        <v>0</v>
      </c>
      <c r="E59" s="189">
        <f t="shared" si="24"/>
        <v>0</v>
      </c>
      <c r="F59" s="189">
        <f t="shared" si="24"/>
        <v>0</v>
      </c>
      <c r="G59" s="189">
        <f t="shared" si="24"/>
        <v>0</v>
      </c>
      <c r="H59" s="189">
        <f t="shared" si="24"/>
        <v>0</v>
      </c>
      <c r="I59" s="189">
        <f t="shared" si="24"/>
        <v>0</v>
      </c>
      <c r="J59" s="189">
        <f t="shared" si="24"/>
        <v>-16118.404313987538</v>
      </c>
      <c r="K59" s="189">
        <f t="shared" si="24"/>
        <v>-423.16133709556641</v>
      </c>
      <c r="L59" s="189">
        <f t="shared" si="24"/>
        <v>-670.0264228307168</v>
      </c>
      <c r="M59" s="189">
        <f t="shared" si="24"/>
        <v>-942.37022505696552</v>
      </c>
      <c r="N59" s="189">
        <f t="shared" si="24"/>
        <v>-1242.7878924401987</v>
      </c>
      <c r="O59" s="189">
        <f t="shared" si="24"/>
        <v>-1410.3584533334422</v>
      </c>
      <c r="P59" s="189">
        <f t="shared" ref="P59:AY59" si="25">-IF(P48&gt;0,MIN(P48,P55+P58),0)</f>
        <v>-1415.0435476662087</v>
      </c>
      <c r="Q59" s="189">
        <f t="shared" si="25"/>
        <v>-1718.0472707202982</v>
      </c>
      <c r="R59" s="189">
        <f t="shared" si="25"/>
        <v>-2460.823158993026</v>
      </c>
      <c r="S59" s="189">
        <f t="shared" si="25"/>
        <v>-2465.7202127423716</v>
      </c>
      <c r="T59" s="189">
        <f t="shared" si="25"/>
        <v>-1133.2571651336689</v>
      </c>
      <c r="U59" s="189">
        <f t="shared" si="25"/>
        <v>0</v>
      </c>
      <c r="V59" s="189">
        <f t="shared" si="25"/>
        <v>0</v>
      </c>
      <c r="W59" s="189">
        <f t="shared" si="25"/>
        <v>0</v>
      </c>
      <c r="X59" s="189">
        <f t="shared" si="25"/>
        <v>0</v>
      </c>
      <c r="Y59" s="189">
        <f t="shared" si="25"/>
        <v>0</v>
      </c>
      <c r="Z59" s="189">
        <f t="shared" si="25"/>
        <v>0</v>
      </c>
      <c r="AA59" s="189">
        <f t="shared" si="25"/>
        <v>0</v>
      </c>
      <c r="AB59" s="189">
        <f t="shared" si="25"/>
        <v>0</v>
      </c>
      <c r="AC59" s="189">
        <f t="shared" si="25"/>
        <v>0</v>
      </c>
      <c r="AD59" s="189">
        <f t="shared" si="25"/>
        <v>0</v>
      </c>
      <c r="AE59" s="189">
        <f t="shared" si="25"/>
        <v>0</v>
      </c>
      <c r="AF59" s="189">
        <f t="shared" si="25"/>
        <v>0</v>
      </c>
      <c r="AG59" s="189">
        <f t="shared" si="25"/>
        <v>0</v>
      </c>
      <c r="AH59" s="189">
        <f t="shared" si="25"/>
        <v>0</v>
      </c>
      <c r="AI59" s="189">
        <f t="shared" si="25"/>
        <v>0</v>
      </c>
      <c r="AJ59" s="189">
        <f t="shared" si="25"/>
        <v>0</v>
      </c>
      <c r="AK59" s="189">
        <f t="shared" si="25"/>
        <v>0</v>
      </c>
      <c r="AL59" s="189">
        <f t="shared" si="25"/>
        <v>0</v>
      </c>
      <c r="AM59" s="189">
        <f t="shared" si="25"/>
        <v>0</v>
      </c>
      <c r="AN59" s="189">
        <f t="shared" si="25"/>
        <v>0</v>
      </c>
      <c r="AO59" s="189">
        <f t="shared" si="25"/>
        <v>0</v>
      </c>
      <c r="AP59" s="189">
        <f t="shared" si="25"/>
        <v>0</v>
      </c>
      <c r="AQ59" s="189">
        <f t="shared" si="25"/>
        <v>0</v>
      </c>
      <c r="AR59" s="189">
        <f t="shared" si="25"/>
        <v>0</v>
      </c>
      <c r="AS59" s="189">
        <f t="shared" si="25"/>
        <v>0</v>
      </c>
      <c r="AT59" s="189">
        <f t="shared" si="25"/>
        <v>0</v>
      </c>
      <c r="AU59" s="189">
        <f t="shared" si="25"/>
        <v>0</v>
      </c>
      <c r="AV59" s="189">
        <f t="shared" si="25"/>
        <v>0</v>
      </c>
      <c r="AW59" s="189">
        <f t="shared" si="25"/>
        <v>0</v>
      </c>
      <c r="AX59" s="189">
        <f t="shared" si="25"/>
        <v>0</v>
      </c>
      <c r="AY59" s="189">
        <f t="shared" si="25"/>
        <v>0</v>
      </c>
    </row>
    <row r="60" spans="1:51" s="157" customFormat="1" x14ac:dyDescent="0.25">
      <c r="A60" s="157" t="s">
        <v>128</v>
      </c>
      <c r="B60" s="159" t="s">
        <v>162</v>
      </c>
      <c r="C60" s="147"/>
      <c r="D60" s="176">
        <f t="shared" ref="D60:O60" si="26">D55+D58+D59</f>
        <v>550.45814252008904</v>
      </c>
      <c r="E60" s="176">
        <f t="shared" si="26"/>
        <v>3380.2451729538375</v>
      </c>
      <c r="F60" s="176">
        <f t="shared" si="26"/>
        <v>8040.5155631894449</v>
      </c>
      <c r="G60" s="176">
        <f t="shared" si="26"/>
        <v>14537.363063906721</v>
      </c>
      <c r="H60" s="176">
        <f t="shared" si="26"/>
        <v>17839.287126607062</v>
      </c>
      <c r="I60" s="176">
        <f t="shared" si="26"/>
        <v>30000</v>
      </c>
      <c r="J60" s="176">
        <f t="shared" si="26"/>
        <v>13881.595686012462</v>
      </c>
      <c r="K60" s="176">
        <f t="shared" si="26"/>
        <v>13458.434348916897</v>
      </c>
      <c r="L60" s="176">
        <f t="shared" si="26"/>
        <v>12788.40792608618</v>
      </c>
      <c r="M60" s="176">
        <f t="shared" si="26"/>
        <v>11846.037701029214</v>
      </c>
      <c r="N60" s="176">
        <f t="shared" si="26"/>
        <v>10603.249808589015</v>
      </c>
      <c r="O60" s="176">
        <f t="shared" si="26"/>
        <v>9192.8913552555732</v>
      </c>
      <c r="P60" s="176">
        <f t="shared" ref="P60:AY60" si="27">P55+P58+P59</f>
        <v>7777.8478075893645</v>
      </c>
      <c r="Q60" s="176">
        <f t="shared" si="27"/>
        <v>6059.8005368690665</v>
      </c>
      <c r="R60" s="176">
        <f t="shared" si="27"/>
        <v>3598.9773778760405</v>
      </c>
      <c r="S60" s="176">
        <f t="shared" si="27"/>
        <v>1133.2571651336689</v>
      </c>
      <c r="T60" s="176">
        <f t="shared" si="27"/>
        <v>0</v>
      </c>
      <c r="U60" s="176">
        <f t="shared" si="27"/>
        <v>0</v>
      </c>
      <c r="V60" s="176">
        <f t="shared" si="27"/>
        <v>0</v>
      </c>
      <c r="W60" s="176">
        <f t="shared" si="27"/>
        <v>0</v>
      </c>
      <c r="X60" s="176">
        <f t="shared" si="27"/>
        <v>0</v>
      </c>
      <c r="Y60" s="176">
        <f t="shared" si="27"/>
        <v>0</v>
      </c>
      <c r="Z60" s="176">
        <f t="shared" si="27"/>
        <v>0</v>
      </c>
      <c r="AA60" s="176">
        <f t="shared" si="27"/>
        <v>0</v>
      </c>
      <c r="AB60" s="176">
        <f t="shared" si="27"/>
        <v>0</v>
      </c>
      <c r="AC60" s="176">
        <f t="shared" si="27"/>
        <v>0</v>
      </c>
      <c r="AD60" s="176">
        <f t="shared" si="27"/>
        <v>0</v>
      </c>
      <c r="AE60" s="176">
        <f t="shared" si="27"/>
        <v>0</v>
      </c>
      <c r="AF60" s="176">
        <f t="shared" si="27"/>
        <v>0</v>
      </c>
      <c r="AG60" s="176">
        <f t="shared" si="27"/>
        <v>0</v>
      </c>
      <c r="AH60" s="176">
        <f t="shared" si="27"/>
        <v>0</v>
      </c>
      <c r="AI60" s="176">
        <f t="shared" si="27"/>
        <v>0</v>
      </c>
      <c r="AJ60" s="176">
        <f t="shared" si="27"/>
        <v>0</v>
      </c>
      <c r="AK60" s="176">
        <f t="shared" si="27"/>
        <v>0</v>
      </c>
      <c r="AL60" s="176">
        <f t="shared" si="27"/>
        <v>0</v>
      </c>
      <c r="AM60" s="176">
        <f t="shared" si="27"/>
        <v>0</v>
      </c>
      <c r="AN60" s="176">
        <f t="shared" si="27"/>
        <v>0</v>
      </c>
      <c r="AO60" s="176">
        <f t="shared" si="27"/>
        <v>0</v>
      </c>
      <c r="AP60" s="176">
        <f t="shared" si="27"/>
        <v>0</v>
      </c>
      <c r="AQ60" s="176">
        <f t="shared" si="27"/>
        <v>0</v>
      </c>
      <c r="AR60" s="176">
        <f t="shared" si="27"/>
        <v>0</v>
      </c>
      <c r="AS60" s="176">
        <f t="shared" si="27"/>
        <v>0</v>
      </c>
      <c r="AT60" s="176">
        <f t="shared" si="27"/>
        <v>0</v>
      </c>
      <c r="AU60" s="176">
        <f t="shared" si="27"/>
        <v>0</v>
      </c>
      <c r="AV60" s="176">
        <f t="shared" si="27"/>
        <v>0</v>
      </c>
      <c r="AW60" s="176">
        <f t="shared" si="27"/>
        <v>0</v>
      </c>
      <c r="AX60" s="176">
        <f t="shared" si="27"/>
        <v>0</v>
      </c>
      <c r="AY60" s="176">
        <f t="shared" si="27"/>
        <v>0</v>
      </c>
    </row>
    <row r="61" spans="1:51" s="157" customFormat="1" x14ac:dyDescent="0.25">
      <c r="B61" s="159"/>
      <c r="C61" s="147"/>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row>
    <row r="62" spans="1:51" s="157" customFormat="1" ht="21" x14ac:dyDescent="0.35">
      <c r="A62" s="187" t="s">
        <v>127</v>
      </c>
      <c r="B62" s="159"/>
      <c r="C62" s="147"/>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row>
    <row r="63" spans="1:51" s="157" customFormat="1" ht="18.75" x14ac:dyDescent="0.3">
      <c r="A63" s="169" t="s">
        <v>126</v>
      </c>
      <c r="B63" s="159"/>
      <c r="C63" s="147"/>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row>
    <row r="64" spans="1:51" s="157" customFormat="1" x14ac:dyDescent="0.25">
      <c r="A64" s="144" t="s">
        <v>166</v>
      </c>
      <c r="B64" s="159"/>
      <c r="C64" s="147"/>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row>
    <row r="65" spans="1:51" s="145" customFormat="1" x14ac:dyDescent="0.25">
      <c r="A65" s="186" t="s">
        <v>125</v>
      </c>
      <c r="B65" s="185" t="s">
        <v>162</v>
      </c>
      <c r="C65" s="175"/>
      <c r="D65" s="227">
        <f>8%^1/12</f>
        <v>6.6666666666666671E-3</v>
      </c>
      <c r="E65" s="227">
        <f t="shared" ref="E65:O65" si="28">D65</f>
        <v>6.6666666666666671E-3</v>
      </c>
      <c r="F65" s="227">
        <f t="shared" si="28"/>
        <v>6.6666666666666671E-3</v>
      </c>
      <c r="G65" s="227">
        <f t="shared" si="28"/>
        <v>6.6666666666666671E-3</v>
      </c>
      <c r="H65" s="227">
        <f t="shared" si="28"/>
        <v>6.6666666666666671E-3</v>
      </c>
      <c r="I65" s="227">
        <f t="shared" si="28"/>
        <v>6.6666666666666671E-3</v>
      </c>
      <c r="J65" s="227">
        <f t="shared" si="28"/>
        <v>6.6666666666666671E-3</v>
      </c>
      <c r="K65" s="227">
        <f t="shared" si="28"/>
        <v>6.6666666666666671E-3</v>
      </c>
      <c r="L65" s="227">
        <f t="shared" si="28"/>
        <v>6.6666666666666671E-3</v>
      </c>
      <c r="M65" s="227">
        <f t="shared" si="28"/>
        <v>6.6666666666666671E-3</v>
      </c>
      <c r="N65" s="227">
        <f t="shared" si="28"/>
        <v>6.6666666666666671E-3</v>
      </c>
      <c r="O65" s="227">
        <f t="shared" si="28"/>
        <v>6.6666666666666671E-3</v>
      </c>
      <c r="P65" s="227">
        <f t="shared" ref="P65:AY65" si="29">O65</f>
        <v>6.6666666666666671E-3</v>
      </c>
      <c r="Q65" s="227">
        <f t="shared" si="29"/>
        <v>6.6666666666666671E-3</v>
      </c>
      <c r="R65" s="227">
        <f t="shared" si="29"/>
        <v>6.6666666666666671E-3</v>
      </c>
      <c r="S65" s="227">
        <f t="shared" si="29"/>
        <v>6.6666666666666671E-3</v>
      </c>
      <c r="T65" s="227">
        <f t="shared" si="29"/>
        <v>6.6666666666666671E-3</v>
      </c>
      <c r="U65" s="227">
        <f t="shared" si="29"/>
        <v>6.6666666666666671E-3</v>
      </c>
      <c r="V65" s="227">
        <f t="shared" si="29"/>
        <v>6.6666666666666671E-3</v>
      </c>
      <c r="W65" s="227">
        <f t="shared" si="29"/>
        <v>6.6666666666666671E-3</v>
      </c>
      <c r="X65" s="227">
        <f t="shared" si="29"/>
        <v>6.6666666666666671E-3</v>
      </c>
      <c r="Y65" s="227">
        <f t="shared" si="29"/>
        <v>6.6666666666666671E-3</v>
      </c>
      <c r="Z65" s="227">
        <f t="shared" si="29"/>
        <v>6.6666666666666671E-3</v>
      </c>
      <c r="AA65" s="227">
        <f t="shared" si="29"/>
        <v>6.6666666666666671E-3</v>
      </c>
      <c r="AB65" s="227">
        <f t="shared" si="29"/>
        <v>6.6666666666666671E-3</v>
      </c>
      <c r="AC65" s="227">
        <f t="shared" si="29"/>
        <v>6.6666666666666671E-3</v>
      </c>
      <c r="AD65" s="227">
        <f t="shared" si="29"/>
        <v>6.6666666666666671E-3</v>
      </c>
      <c r="AE65" s="227">
        <f t="shared" si="29"/>
        <v>6.6666666666666671E-3</v>
      </c>
      <c r="AF65" s="227">
        <f t="shared" si="29"/>
        <v>6.6666666666666671E-3</v>
      </c>
      <c r="AG65" s="227">
        <f t="shared" si="29"/>
        <v>6.6666666666666671E-3</v>
      </c>
      <c r="AH65" s="227">
        <f t="shared" si="29"/>
        <v>6.6666666666666671E-3</v>
      </c>
      <c r="AI65" s="227">
        <f t="shared" si="29"/>
        <v>6.6666666666666671E-3</v>
      </c>
      <c r="AJ65" s="227">
        <f t="shared" si="29"/>
        <v>6.6666666666666671E-3</v>
      </c>
      <c r="AK65" s="227">
        <f t="shared" si="29"/>
        <v>6.6666666666666671E-3</v>
      </c>
      <c r="AL65" s="227">
        <f t="shared" si="29"/>
        <v>6.6666666666666671E-3</v>
      </c>
      <c r="AM65" s="227">
        <f t="shared" si="29"/>
        <v>6.6666666666666671E-3</v>
      </c>
      <c r="AN65" s="227">
        <f t="shared" si="29"/>
        <v>6.6666666666666671E-3</v>
      </c>
      <c r="AO65" s="227">
        <f t="shared" si="29"/>
        <v>6.6666666666666671E-3</v>
      </c>
      <c r="AP65" s="227">
        <f t="shared" si="29"/>
        <v>6.6666666666666671E-3</v>
      </c>
      <c r="AQ65" s="227">
        <f t="shared" si="29"/>
        <v>6.6666666666666671E-3</v>
      </c>
      <c r="AR65" s="227">
        <f t="shared" si="29"/>
        <v>6.6666666666666671E-3</v>
      </c>
      <c r="AS65" s="227">
        <f t="shared" si="29"/>
        <v>6.6666666666666671E-3</v>
      </c>
      <c r="AT65" s="227">
        <f t="shared" si="29"/>
        <v>6.6666666666666671E-3</v>
      </c>
      <c r="AU65" s="227">
        <f t="shared" si="29"/>
        <v>6.6666666666666671E-3</v>
      </c>
      <c r="AV65" s="227">
        <f t="shared" si="29"/>
        <v>6.6666666666666671E-3</v>
      </c>
      <c r="AW65" s="227">
        <f t="shared" si="29"/>
        <v>6.6666666666666671E-3</v>
      </c>
      <c r="AX65" s="227">
        <f t="shared" si="29"/>
        <v>6.6666666666666671E-3</v>
      </c>
      <c r="AY65" s="227">
        <f t="shared" si="29"/>
        <v>6.6666666666666671E-3</v>
      </c>
    </row>
    <row r="66" spans="1:51" s="178" customFormat="1" ht="23.25" x14ac:dyDescent="0.25">
      <c r="A66" s="182" t="s">
        <v>124</v>
      </c>
      <c r="B66" s="181" t="s">
        <v>162</v>
      </c>
      <c r="C66" s="180">
        <f>SUM(D66:AY66)</f>
        <v>1646.8836878253464</v>
      </c>
      <c r="D66" s="179">
        <f t="shared" ref="D66:O66" si="30">(D55+D60/2)*D65</f>
        <v>1.8348604750669635</v>
      </c>
      <c r="E66" s="179">
        <f t="shared" si="30"/>
        <v>14.937204859980055</v>
      </c>
      <c r="F66" s="179">
        <f t="shared" si="30"/>
        <v>49.336686363657066</v>
      </c>
      <c r="G66" s="179">
        <f t="shared" si="30"/>
        <v>102.0613139676187</v>
      </c>
      <c r="H66" s="179">
        <f t="shared" si="30"/>
        <v>156.3800441814017</v>
      </c>
      <c r="I66" s="179">
        <f t="shared" si="30"/>
        <v>218.92858084404708</v>
      </c>
      <c r="J66" s="179">
        <f t="shared" si="30"/>
        <v>246.27198562004153</v>
      </c>
      <c r="K66" s="179">
        <f t="shared" si="30"/>
        <v>137.4054190698061</v>
      </c>
      <c r="L66" s="179">
        <f t="shared" si="30"/>
        <v>132.35092207973324</v>
      </c>
      <c r="M66" s="179">
        <f t="shared" si="30"/>
        <v>124.74284517733859</v>
      </c>
      <c r="N66" s="179">
        <f t="shared" si="30"/>
        <v>114.31775070215814</v>
      </c>
      <c r="O66" s="179">
        <f t="shared" si="30"/>
        <v>101.33130324144535</v>
      </c>
      <c r="P66" s="179">
        <f t="shared" ref="P66:AY66" si="31">(P55+P60/2)*P65</f>
        <v>87.212101727001709</v>
      </c>
      <c r="Q66" s="179">
        <f t="shared" si="31"/>
        <v>72.051653840159318</v>
      </c>
      <c r="R66" s="179">
        <f t="shared" si="31"/>
        <v>52.395261505380581</v>
      </c>
      <c r="S66" s="179">
        <f t="shared" si="31"/>
        <v>27.770706402952499</v>
      </c>
      <c r="T66" s="179">
        <f t="shared" si="31"/>
        <v>7.5550477675577934</v>
      </c>
      <c r="U66" s="179">
        <f t="shared" si="31"/>
        <v>0</v>
      </c>
      <c r="V66" s="179">
        <f t="shared" si="31"/>
        <v>0</v>
      </c>
      <c r="W66" s="179">
        <f t="shared" si="31"/>
        <v>0</v>
      </c>
      <c r="X66" s="179">
        <f t="shared" si="31"/>
        <v>0</v>
      </c>
      <c r="Y66" s="179">
        <f t="shared" si="31"/>
        <v>0</v>
      </c>
      <c r="Z66" s="179">
        <f t="shared" si="31"/>
        <v>0</v>
      </c>
      <c r="AA66" s="179">
        <f t="shared" si="31"/>
        <v>0</v>
      </c>
      <c r="AB66" s="179">
        <f t="shared" si="31"/>
        <v>0</v>
      </c>
      <c r="AC66" s="179">
        <f t="shared" si="31"/>
        <v>0</v>
      </c>
      <c r="AD66" s="179">
        <f t="shared" si="31"/>
        <v>0</v>
      </c>
      <c r="AE66" s="179">
        <f t="shared" si="31"/>
        <v>0</v>
      </c>
      <c r="AF66" s="179">
        <f t="shared" si="31"/>
        <v>0</v>
      </c>
      <c r="AG66" s="179">
        <f t="shared" si="31"/>
        <v>0</v>
      </c>
      <c r="AH66" s="179">
        <f t="shared" si="31"/>
        <v>0</v>
      </c>
      <c r="AI66" s="179">
        <f t="shared" si="31"/>
        <v>0</v>
      </c>
      <c r="AJ66" s="179">
        <f t="shared" si="31"/>
        <v>0</v>
      </c>
      <c r="AK66" s="179">
        <f t="shared" si="31"/>
        <v>0</v>
      </c>
      <c r="AL66" s="179">
        <f t="shared" si="31"/>
        <v>0</v>
      </c>
      <c r="AM66" s="179">
        <f t="shared" si="31"/>
        <v>0</v>
      </c>
      <c r="AN66" s="179">
        <f t="shared" si="31"/>
        <v>0</v>
      </c>
      <c r="AO66" s="179">
        <f t="shared" si="31"/>
        <v>0</v>
      </c>
      <c r="AP66" s="179">
        <f t="shared" si="31"/>
        <v>0</v>
      </c>
      <c r="AQ66" s="179">
        <f t="shared" si="31"/>
        <v>0</v>
      </c>
      <c r="AR66" s="179">
        <f t="shared" si="31"/>
        <v>0</v>
      </c>
      <c r="AS66" s="179">
        <f t="shared" si="31"/>
        <v>0</v>
      </c>
      <c r="AT66" s="179">
        <f t="shared" si="31"/>
        <v>0</v>
      </c>
      <c r="AU66" s="179">
        <f t="shared" si="31"/>
        <v>0</v>
      </c>
      <c r="AV66" s="179">
        <f t="shared" si="31"/>
        <v>0</v>
      </c>
      <c r="AW66" s="179">
        <f t="shared" si="31"/>
        <v>0</v>
      </c>
      <c r="AX66" s="179">
        <f t="shared" si="31"/>
        <v>0</v>
      </c>
      <c r="AY66" s="179">
        <f t="shared" si="31"/>
        <v>0</v>
      </c>
    </row>
    <row r="67" spans="1:51" s="157" customFormat="1" x14ac:dyDescent="0.25">
      <c r="B67" s="159"/>
      <c r="C67" s="147"/>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row>
    <row r="68" spans="1:51" s="157" customFormat="1" ht="23.25" x14ac:dyDescent="0.35">
      <c r="A68" s="184" t="s">
        <v>123</v>
      </c>
      <c r="B68" s="159"/>
      <c r="C68" s="147"/>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row>
    <row r="69" spans="1:51" s="157" customFormat="1" ht="16.5" thickBot="1" x14ac:dyDescent="0.3">
      <c r="A69" s="144" t="s">
        <v>212</v>
      </c>
      <c r="B69" s="159"/>
      <c r="C69" s="147"/>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row>
    <row r="70" spans="1:51" s="150" customFormat="1" ht="16.5" thickBot="1" x14ac:dyDescent="0.3">
      <c r="A70" s="150" t="s">
        <v>122</v>
      </c>
      <c r="B70" s="177" t="s">
        <v>162</v>
      </c>
      <c r="C70" s="152"/>
      <c r="D70" s="183">
        <v>0</v>
      </c>
      <c r="E70" s="176">
        <f t="shared" ref="E70:O70" si="32">D76</f>
        <v>552.29300299515603</v>
      </c>
      <c r="F70" s="176">
        <f t="shared" si="32"/>
        <v>3397.0172382888841</v>
      </c>
      <c r="G70" s="176">
        <f t="shared" si="32"/>
        <v>8106.6243148881476</v>
      </c>
      <c r="H70" s="176">
        <f t="shared" si="32"/>
        <v>14705.533129573043</v>
      </c>
      <c r="I70" s="176">
        <f t="shared" si="32"/>
        <v>18163.837236454787</v>
      </c>
      <c r="J70" s="176">
        <f t="shared" si="32"/>
        <v>33754.894096982171</v>
      </c>
      <c r="K70" s="176">
        <f t="shared" si="32"/>
        <v>33754.894096982171</v>
      </c>
      <c r="L70" s="176">
        <f t="shared" si="32"/>
        <v>33754.894096982171</v>
      </c>
      <c r="M70" s="176">
        <f t="shared" si="32"/>
        <v>33754.894096982171</v>
      </c>
      <c r="N70" s="176">
        <f t="shared" si="32"/>
        <v>33754.894096982171</v>
      </c>
      <c r="O70" s="176">
        <f t="shared" si="32"/>
        <v>33754.894096982171</v>
      </c>
      <c r="P70" s="176">
        <f t="shared" ref="P70:AY70" si="33">O76</f>
        <v>33754.894096982171</v>
      </c>
      <c r="Q70" s="176">
        <f t="shared" si="33"/>
        <v>33754.894096982171</v>
      </c>
      <c r="R70" s="176">
        <f t="shared" si="33"/>
        <v>33754.894096982171</v>
      </c>
      <c r="S70" s="176">
        <f t="shared" si="33"/>
        <v>33754.894096982171</v>
      </c>
      <c r="T70" s="176">
        <f t="shared" si="33"/>
        <v>33754.894096982171</v>
      </c>
      <c r="U70" s="176">
        <f t="shared" si="33"/>
        <v>33754.894096982171</v>
      </c>
      <c r="V70" s="176">
        <f t="shared" si="33"/>
        <v>33754.894096982171</v>
      </c>
      <c r="W70" s="176">
        <f t="shared" si="33"/>
        <v>33754.894096982171</v>
      </c>
      <c r="X70" s="176">
        <f t="shared" si="33"/>
        <v>33754.894096982171</v>
      </c>
      <c r="Y70" s="176">
        <f t="shared" si="33"/>
        <v>33754.894096982171</v>
      </c>
      <c r="Z70" s="176">
        <f t="shared" si="33"/>
        <v>33754.894096982171</v>
      </c>
      <c r="AA70" s="176">
        <f t="shared" si="33"/>
        <v>33754.894096982171</v>
      </c>
      <c r="AB70" s="176">
        <f t="shared" si="33"/>
        <v>33754.894096982171</v>
      </c>
      <c r="AC70" s="176">
        <f t="shared" si="33"/>
        <v>33754.894096982171</v>
      </c>
      <c r="AD70" s="176">
        <f t="shared" si="33"/>
        <v>33754.894096982171</v>
      </c>
      <c r="AE70" s="176">
        <f t="shared" si="33"/>
        <v>33754.894096982171</v>
      </c>
      <c r="AF70" s="176">
        <f t="shared" si="33"/>
        <v>33754.894096982171</v>
      </c>
      <c r="AG70" s="176">
        <f t="shared" si="33"/>
        <v>33754.894096982171</v>
      </c>
      <c r="AH70" s="176">
        <f t="shared" si="33"/>
        <v>33754.894096982171</v>
      </c>
      <c r="AI70" s="176">
        <f t="shared" si="33"/>
        <v>33754.894096982171</v>
      </c>
      <c r="AJ70" s="176">
        <f t="shared" si="33"/>
        <v>33754.894096982171</v>
      </c>
      <c r="AK70" s="176">
        <f t="shared" si="33"/>
        <v>33754.894096982171</v>
      </c>
      <c r="AL70" s="176">
        <f t="shared" si="33"/>
        <v>33754.894096982171</v>
      </c>
      <c r="AM70" s="176">
        <f t="shared" si="33"/>
        <v>33754.894096982171</v>
      </c>
      <c r="AN70" s="176">
        <f t="shared" si="33"/>
        <v>33754.894096982171</v>
      </c>
      <c r="AO70" s="176">
        <f t="shared" si="33"/>
        <v>33754.894096982171</v>
      </c>
      <c r="AP70" s="176">
        <f t="shared" si="33"/>
        <v>33754.894096982171</v>
      </c>
      <c r="AQ70" s="176">
        <f t="shared" si="33"/>
        <v>33754.894096982171</v>
      </c>
      <c r="AR70" s="176">
        <f t="shared" si="33"/>
        <v>33754.894096982171</v>
      </c>
      <c r="AS70" s="176">
        <f t="shared" si="33"/>
        <v>33754.894096982171</v>
      </c>
      <c r="AT70" s="176">
        <f t="shared" si="33"/>
        <v>33754.894096982171</v>
      </c>
      <c r="AU70" s="176">
        <f t="shared" si="33"/>
        <v>33754.894096982171</v>
      </c>
      <c r="AV70" s="176">
        <f t="shared" si="33"/>
        <v>33754.894096982171</v>
      </c>
      <c r="AW70" s="176">
        <f t="shared" si="33"/>
        <v>33754.894096982171</v>
      </c>
      <c r="AX70" s="176">
        <f t="shared" si="33"/>
        <v>33754.894096982171</v>
      </c>
      <c r="AY70" s="176">
        <f t="shared" si="33"/>
        <v>33754.894096982171</v>
      </c>
    </row>
    <row r="71" spans="1:51" s="150" customFormat="1" x14ac:dyDescent="0.25">
      <c r="A71" s="163" t="str">
        <f>A39</f>
        <v>Net Cash Flow before project funding - Nominal</v>
      </c>
      <c r="B71" s="153" t="str">
        <f>B39</f>
        <v>$  Nominal</v>
      </c>
      <c r="C71" s="152">
        <f>SUM(D71:AY71)</f>
        <v>57911.821644633543</v>
      </c>
      <c r="D71" s="168">
        <f t="shared" ref="D71:O71" si="34">D39</f>
        <v>-1100.9162850401781</v>
      </c>
      <c r="E71" s="168">
        <f t="shared" si="34"/>
        <v>-5659.5740608674969</v>
      </c>
      <c r="F71" s="168">
        <f t="shared" si="34"/>
        <v>-9320.540780471214</v>
      </c>
      <c r="G71" s="168">
        <f t="shared" si="34"/>
        <v>-12993.695001434553</v>
      </c>
      <c r="H71" s="168">
        <f t="shared" si="34"/>
        <v>-6603.848125400682</v>
      </c>
      <c r="I71" s="168">
        <f t="shared" si="34"/>
        <v>-27532.841153076275</v>
      </c>
      <c r="J71" s="168">
        <f t="shared" si="34"/>
        <v>1118.4043139875369</v>
      </c>
      <c r="K71" s="168">
        <f t="shared" si="34"/>
        <v>423.16133709556641</v>
      </c>
      <c r="L71" s="168">
        <f t="shared" si="34"/>
        <v>670.0264228307168</v>
      </c>
      <c r="M71" s="168">
        <f t="shared" si="34"/>
        <v>942.37022505696552</v>
      </c>
      <c r="N71" s="168">
        <f t="shared" si="34"/>
        <v>1242.7878924401987</v>
      </c>
      <c r="O71" s="168">
        <f t="shared" si="34"/>
        <v>1410.3584533334422</v>
      </c>
      <c r="P71" s="168">
        <f t="shared" ref="P71:AY71" si="35">P39</f>
        <v>1415.0435476662087</v>
      </c>
      <c r="Q71" s="168">
        <f t="shared" si="35"/>
        <v>1718.0472707202982</v>
      </c>
      <c r="R71" s="168">
        <f t="shared" si="35"/>
        <v>2460.823158993026</v>
      </c>
      <c r="S71" s="168">
        <f t="shared" si="35"/>
        <v>2465.7202127423716</v>
      </c>
      <c r="T71" s="168">
        <f t="shared" si="35"/>
        <v>2470.6101500519521</v>
      </c>
      <c r="U71" s="168">
        <f t="shared" si="35"/>
        <v>2475.4932524236183</v>
      </c>
      <c r="V71" s="168">
        <f t="shared" si="35"/>
        <v>2480.3697961954222</v>
      </c>
      <c r="W71" s="168">
        <f t="shared" si="35"/>
        <v>2485.2400526411689</v>
      </c>
      <c r="X71" s="168">
        <f t="shared" si="35"/>
        <v>2490.1042880680634</v>
      </c>
      <c r="Y71" s="168">
        <f t="shared" si="35"/>
        <v>2494.9627639124783</v>
      </c>
      <c r="Z71" s="168">
        <f t="shared" si="35"/>
        <v>2499.8157368338861</v>
      </c>
      <c r="AA71" s="168">
        <f t="shared" si="35"/>
        <v>2504.6634588069878</v>
      </c>
      <c r="AB71" s="168">
        <f t="shared" si="35"/>
        <v>2509.5061772120703</v>
      </c>
      <c r="AC71" s="168">
        <f t="shared" si="35"/>
        <v>2514.3441349236327</v>
      </c>
      <c r="AD71" s="168">
        <f t="shared" si="35"/>
        <v>2519.1775703973126</v>
      </c>
      <c r="AE71" s="168">
        <f t="shared" si="35"/>
        <v>2524.0067177551409</v>
      </c>
      <c r="AF71" s="168">
        <f t="shared" si="35"/>
        <v>2528.8318068691619</v>
      </c>
      <c r="AG71" s="168">
        <f t="shared" si="35"/>
        <v>2533.6530634434471</v>
      </c>
      <c r="AH71" s="168">
        <f t="shared" si="35"/>
        <v>2538.4707090945381</v>
      </c>
      <c r="AI71" s="168">
        <f t="shared" si="35"/>
        <v>2543.2849614303395</v>
      </c>
      <c r="AJ71" s="168">
        <f t="shared" si="35"/>
        <v>2548.0960341275054</v>
      </c>
      <c r="AK71" s="168">
        <f t="shared" si="35"/>
        <v>2552.904137007336</v>
      </c>
      <c r="AL71" s="168">
        <f t="shared" si="35"/>
        <v>2557.7094761102135</v>
      </c>
      <c r="AM71" s="168">
        <f t="shared" si="35"/>
        <v>2562.5122537686243</v>
      </c>
      <c r="AN71" s="168">
        <f t="shared" si="35"/>
        <v>2567.3126686787605</v>
      </c>
      <c r="AO71" s="168">
        <f t="shared" si="35"/>
        <v>2572.1109159707562</v>
      </c>
      <c r="AP71" s="168">
        <f t="shared" si="35"/>
        <v>2576.9071872775844</v>
      </c>
      <c r="AQ71" s="168">
        <f t="shared" si="35"/>
        <v>2581.7016708026167</v>
      </c>
      <c r="AR71" s="168">
        <f t="shared" si="35"/>
        <v>2586.4945513858947</v>
      </c>
      <c r="AS71" s="168">
        <f t="shared" si="35"/>
        <v>2591.2860105691266</v>
      </c>
      <c r="AT71" s="168">
        <f t="shared" si="35"/>
        <v>2596.0762266594438</v>
      </c>
      <c r="AU71" s="168">
        <f t="shared" si="35"/>
        <v>2600.8653747919152</v>
      </c>
      <c r="AV71" s="168">
        <f t="shared" si="35"/>
        <v>2605.6536269908938</v>
      </c>
      <c r="AW71" s="168">
        <f t="shared" si="35"/>
        <v>2610.4411522301471</v>
      </c>
      <c r="AX71" s="168">
        <f t="shared" si="35"/>
        <v>3616.4416631507024</v>
      </c>
      <c r="AY71" s="168">
        <f t="shared" si="35"/>
        <v>27417.446626476878</v>
      </c>
    </row>
    <row r="72" spans="1:51" s="150" customFormat="1" x14ac:dyDescent="0.25">
      <c r="A72" s="163" t="str">
        <f>A66</f>
        <v xml:space="preserve">Interest - paid </v>
      </c>
      <c r="B72" s="153" t="str">
        <f>B66</f>
        <v>$ Nominal</v>
      </c>
      <c r="C72" s="152">
        <f>SUM(D72:AY72)</f>
        <v>-1646.8836878253464</v>
      </c>
      <c r="D72" s="168">
        <f t="shared" ref="D72:O72" si="36">-D66</f>
        <v>-1.8348604750669635</v>
      </c>
      <c r="E72" s="168">
        <f t="shared" si="36"/>
        <v>-14.937204859980055</v>
      </c>
      <c r="F72" s="168">
        <f t="shared" si="36"/>
        <v>-49.336686363657066</v>
      </c>
      <c r="G72" s="168">
        <f t="shared" si="36"/>
        <v>-102.0613139676187</v>
      </c>
      <c r="H72" s="168">
        <f t="shared" si="36"/>
        <v>-156.3800441814017</v>
      </c>
      <c r="I72" s="168">
        <f t="shared" si="36"/>
        <v>-218.92858084404708</v>
      </c>
      <c r="J72" s="168">
        <f t="shared" si="36"/>
        <v>-246.27198562004153</v>
      </c>
      <c r="K72" s="168">
        <f t="shared" si="36"/>
        <v>-137.4054190698061</v>
      </c>
      <c r="L72" s="168">
        <f t="shared" si="36"/>
        <v>-132.35092207973324</v>
      </c>
      <c r="M72" s="168">
        <f t="shared" si="36"/>
        <v>-124.74284517733859</v>
      </c>
      <c r="N72" s="168">
        <f t="shared" si="36"/>
        <v>-114.31775070215814</v>
      </c>
      <c r="O72" s="168">
        <f t="shared" si="36"/>
        <v>-101.33130324144535</v>
      </c>
      <c r="P72" s="168">
        <f t="shared" ref="P72:AY72" si="37">-P66</f>
        <v>-87.212101727001709</v>
      </c>
      <c r="Q72" s="168">
        <f t="shared" si="37"/>
        <v>-72.051653840159318</v>
      </c>
      <c r="R72" s="168">
        <f t="shared" si="37"/>
        <v>-52.395261505380581</v>
      </c>
      <c r="S72" s="168">
        <f t="shared" si="37"/>
        <v>-27.770706402952499</v>
      </c>
      <c r="T72" s="168">
        <f t="shared" si="37"/>
        <v>-7.5550477675577934</v>
      </c>
      <c r="U72" s="168">
        <f t="shared" si="37"/>
        <v>0</v>
      </c>
      <c r="V72" s="168">
        <f t="shared" si="37"/>
        <v>0</v>
      </c>
      <c r="W72" s="168">
        <f t="shared" si="37"/>
        <v>0</v>
      </c>
      <c r="X72" s="168">
        <f t="shared" si="37"/>
        <v>0</v>
      </c>
      <c r="Y72" s="168">
        <f t="shared" si="37"/>
        <v>0</v>
      </c>
      <c r="Z72" s="168">
        <f t="shared" si="37"/>
        <v>0</v>
      </c>
      <c r="AA72" s="168">
        <f t="shared" si="37"/>
        <v>0</v>
      </c>
      <c r="AB72" s="168">
        <f t="shared" si="37"/>
        <v>0</v>
      </c>
      <c r="AC72" s="168">
        <f t="shared" si="37"/>
        <v>0</v>
      </c>
      <c r="AD72" s="168">
        <f t="shared" si="37"/>
        <v>0</v>
      </c>
      <c r="AE72" s="168">
        <f t="shared" si="37"/>
        <v>0</v>
      </c>
      <c r="AF72" s="168">
        <f t="shared" si="37"/>
        <v>0</v>
      </c>
      <c r="AG72" s="168">
        <f t="shared" si="37"/>
        <v>0</v>
      </c>
      <c r="AH72" s="168">
        <f t="shared" si="37"/>
        <v>0</v>
      </c>
      <c r="AI72" s="168">
        <f t="shared" si="37"/>
        <v>0</v>
      </c>
      <c r="AJ72" s="168">
        <f t="shared" si="37"/>
        <v>0</v>
      </c>
      <c r="AK72" s="168">
        <f t="shared" si="37"/>
        <v>0</v>
      </c>
      <c r="AL72" s="168">
        <f t="shared" si="37"/>
        <v>0</v>
      </c>
      <c r="AM72" s="168">
        <f t="shared" si="37"/>
        <v>0</v>
      </c>
      <c r="AN72" s="168">
        <f t="shared" si="37"/>
        <v>0</v>
      </c>
      <c r="AO72" s="168">
        <f t="shared" si="37"/>
        <v>0</v>
      </c>
      <c r="AP72" s="168">
        <f t="shared" si="37"/>
        <v>0</v>
      </c>
      <c r="AQ72" s="168">
        <f t="shared" si="37"/>
        <v>0</v>
      </c>
      <c r="AR72" s="168">
        <f t="shared" si="37"/>
        <v>0</v>
      </c>
      <c r="AS72" s="168">
        <f t="shared" si="37"/>
        <v>0</v>
      </c>
      <c r="AT72" s="168">
        <f t="shared" si="37"/>
        <v>0</v>
      </c>
      <c r="AU72" s="168">
        <f t="shared" si="37"/>
        <v>0</v>
      </c>
      <c r="AV72" s="168">
        <f t="shared" si="37"/>
        <v>0</v>
      </c>
      <c r="AW72" s="168">
        <f t="shared" si="37"/>
        <v>0</v>
      </c>
      <c r="AX72" s="168">
        <f t="shared" si="37"/>
        <v>0</v>
      </c>
      <c r="AY72" s="168">
        <f t="shared" si="37"/>
        <v>0</v>
      </c>
    </row>
    <row r="73" spans="1:51" s="150" customFormat="1" x14ac:dyDescent="0.25">
      <c r="A73" s="163" t="str">
        <f>A47</f>
        <v>4 a. Donations</v>
      </c>
      <c r="B73" s="153" t="str">
        <f>B47</f>
        <v>$ Nominal</v>
      </c>
      <c r="C73" s="152">
        <f>SUM(D73:AY73)</f>
        <v>15000</v>
      </c>
      <c r="D73" s="168">
        <f t="shared" ref="D73:O73" si="38">D47</f>
        <v>0</v>
      </c>
      <c r="E73" s="168">
        <f t="shared" si="38"/>
        <v>0</v>
      </c>
      <c r="F73" s="168">
        <f t="shared" si="38"/>
        <v>0</v>
      </c>
      <c r="G73" s="168">
        <f t="shared" si="38"/>
        <v>0</v>
      </c>
      <c r="H73" s="168">
        <f t="shared" si="38"/>
        <v>0</v>
      </c>
      <c r="I73" s="168">
        <f t="shared" si="38"/>
        <v>0</v>
      </c>
      <c r="J73" s="168">
        <f t="shared" si="38"/>
        <v>15000</v>
      </c>
      <c r="K73" s="168">
        <f t="shared" si="38"/>
        <v>0</v>
      </c>
      <c r="L73" s="168">
        <f t="shared" si="38"/>
        <v>0</v>
      </c>
      <c r="M73" s="168">
        <f t="shared" si="38"/>
        <v>0</v>
      </c>
      <c r="N73" s="168">
        <f t="shared" si="38"/>
        <v>0</v>
      </c>
      <c r="O73" s="168">
        <f t="shared" si="38"/>
        <v>0</v>
      </c>
      <c r="P73" s="168">
        <f t="shared" ref="P73:AY73" si="39">P47</f>
        <v>0</v>
      </c>
      <c r="Q73" s="168">
        <f t="shared" si="39"/>
        <v>0</v>
      </c>
      <c r="R73" s="168">
        <f t="shared" si="39"/>
        <v>0</v>
      </c>
      <c r="S73" s="168">
        <f t="shared" si="39"/>
        <v>0</v>
      </c>
      <c r="T73" s="168">
        <f t="shared" si="39"/>
        <v>0</v>
      </c>
      <c r="U73" s="168">
        <f t="shared" si="39"/>
        <v>0</v>
      </c>
      <c r="V73" s="168">
        <f t="shared" si="39"/>
        <v>0</v>
      </c>
      <c r="W73" s="168">
        <f t="shared" si="39"/>
        <v>0</v>
      </c>
      <c r="X73" s="168">
        <f t="shared" si="39"/>
        <v>0</v>
      </c>
      <c r="Y73" s="168">
        <f t="shared" si="39"/>
        <v>0</v>
      </c>
      <c r="Z73" s="168">
        <f t="shared" si="39"/>
        <v>0</v>
      </c>
      <c r="AA73" s="168">
        <f t="shared" si="39"/>
        <v>0</v>
      </c>
      <c r="AB73" s="168">
        <f t="shared" si="39"/>
        <v>0</v>
      </c>
      <c r="AC73" s="168">
        <f t="shared" si="39"/>
        <v>0</v>
      </c>
      <c r="AD73" s="168">
        <f t="shared" si="39"/>
        <v>0</v>
      </c>
      <c r="AE73" s="168">
        <f t="shared" si="39"/>
        <v>0</v>
      </c>
      <c r="AF73" s="168">
        <f t="shared" si="39"/>
        <v>0</v>
      </c>
      <c r="AG73" s="168">
        <f t="shared" si="39"/>
        <v>0</v>
      </c>
      <c r="AH73" s="168">
        <f t="shared" si="39"/>
        <v>0</v>
      </c>
      <c r="AI73" s="168">
        <f t="shared" si="39"/>
        <v>0</v>
      </c>
      <c r="AJ73" s="168">
        <f t="shared" si="39"/>
        <v>0</v>
      </c>
      <c r="AK73" s="168">
        <f t="shared" si="39"/>
        <v>0</v>
      </c>
      <c r="AL73" s="168">
        <f t="shared" si="39"/>
        <v>0</v>
      </c>
      <c r="AM73" s="168">
        <f t="shared" si="39"/>
        <v>0</v>
      </c>
      <c r="AN73" s="168">
        <f t="shared" si="39"/>
        <v>0</v>
      </c>
      <c r="AO73" s="168">
        <f t="shared" si="39"/>
        <v>0</v>
      </c>
      <c r="AP73" s="168">
        <f t="shared" si="39"/>
        <v>0</v>
      </c>
      <c r="AQ73" s="168">
        <f t="shared" si="39"/>
        <v>0</v>
      </c>
      <c r="AR73" s="168">
        <f t="shared" si="39"/>
        <v>0</v>
      </c>
      <c r="AS73" s="168">
        <f t="shared" si="39"/>
        <v>0</v>
      </c>
      <c r="AT73" s="168">
        <f t="shared" si="39"/>
        <v>0</v>
      </c>
      <c r="AU73" s="168">
        <f t="shared" si="39"/>
        <v>0</v>
      </c>
      <c r="AV73" s="168">
        <f t="shared" si="39"/>
        <v>0</v>
      </c>
      <c r="AW73" s="168">
        <f t="shared" si="39"/>
        <v>0</v>
      </c>
      <c r="AX73" s="168">
        <f t="shared" si="39"/>
        <v>0</v>
      </c>
      <c r="AY73" s="168">
        <f t="shared" si="39"/>
        <v>0</v>
      </c>
    </row>
    <row r="74" spans="1:51" s="150" customFormat="1" x14ac:dyDescent="0.25">
      <c r="A74" s="163" t="str">
        <f>A58</f>
        <v>loan - drawdowns</v>
      </c>
      <c r="B74" s="153" t="str">
        <f>B58</f>
        <v>$ Nominal</v>
      </c>
      <c r="C74" s="152">
        <f>SUM(D74:AY74)</f>
        <v>30000</v>
      </c>
      <c r="D74" s="168">
        <f t="shared" ref="D74:O74" si="40">D58</f>
        <v>550.45814252008904</v>
      </c>
      <c r="E74" s="168">
        <f t="shared" si="40"/>
        <v>2829.7870304337484</v>
      </c>
      <c r="F74" s="168">
        <f t="shared" si="40"/>
        <v>4660.270390235607</v>
      </c>
      <c r="G74" s="168">
        <f t="shared" si="40"/>
        <v>6496.8475007172765</v>
      </c>
      <c r="H74" s="168">
        <f t="shared" si="40"/>
        <v>3301.924062700341</v>
      </c>
      <c r="I74" s="168">
        <f t="shared" si="40"/>
        <v>12160.712873392938</v>
      </c>
      <c r="J74" s="168">
        <f t="shared" si="40"/>
        <v>0</v>
      </c>
      <c r="K74" s="168">
        <f t="shared" si="40"/>
        <v>0</v>
      </c>
      <c r="L74" s="168">
        <f t="shared" si="40"/>
        <v>0</v>
      </c>
      <c r="M74" s="168">
        <f t="shared" si="40"/>
        <v>0</v>
      </c>
      <c r="N74" s="168">
        <f t="shared" si="40"/>
        <v>0</v>
      </c>
      <c r="O74" s="168">
        <f t="shared" si="40"/>
        <v>0</v>
      </c>
      <c r="P74" s="168">
        <f t="shared" ref="P74:AY74" si="41">P58</f>
        <v>0</v>
      </c>
      <c r="Q74" s="168">
        <f t="shared" si="41"/>
        <v>0</v>
      </c>
      <c r="R74" s="168">
        <f t="shared" si="41"/>
        <v>0</v>
      </c>
      <c r="S74" s="168">
        <f t="shared" si="41"/>
        <v>0</v>
      </c>
      <c r="T74" s="168">
        <f t="shared" si="41"/>
        <v>0</v>
      </c>
      <c r="U74" s="168">
        <f t="shared" si="41"/>
        <v>0</v>
      </c>
      <c r="V74" s="168">
        <f t="shared" si="41"/>
        <v>0</v>
      </c>
      <c r="W74" s="168">
        <f t="shared" si="41"/>
        <v>0</v>
      </c>
      <c r="X74" s="168">
        <f t="shared" si="41"/>
        <v>0</v>
      </c>
      <c r="Y74" s="168">
        <f t="shared" si="41"/>
        <v>0</v>
      </c>
      <c r="Z74" s="168">
        <f t="shared" si="41"/>
        <v>0</v>
      </c>
      <c r="AA74" s="168">
        <f t="shared" si="41"/>
        <v>0</v>
      </c>
      <c r="AB74" s="168">
        <f t="shared" si="41"/>
        <v>0</v>
      </c>
      <c r="AC74" s="168">
        <f t="shared" si="41"/>
        <v>0</v>
      </c>
      <c r="AD74" s="168">
        <f t="shared" si="41"/>
        <v>0</v>
      </c>
      <c r="AE74" s="168">
        <f t="shared" si="41"/>
        <v>0</v>
      </c>
      <c r="AF74" s="168">
        <f t="shared" si="41"/>
        <v>0</v>
      </c>
      <c r="AG74" s="168">
        <f t="shared" si="41"/>
        <v>0</v>
      </c>
      <c r="AH74" s="168">
        <f t="shared" si="41"/>
        <v>0</v>
      </c>
      <c r="AI74" s="168">
        <f t="shared" si="41"/>
        <v>0</v>
      </c>
      <c r="AJ74" s="168">
        <f t="shared" si="41"/>
        <v>0</v>
      </c>
      <c r="AK74" s="168">
        <f t="shared" si="41"/>
        <v>0</v>
      </c>
      <c r="AL74" s="168">
        <f t="shared" si="41"/>
        <v>0</v>
      </c>
      <c r="AM74" s="168">
        <f t="shared" si="41"/>
        <v>0</v>
      </c>
      <c r="AN74" s="168">
        <f t="shared" si="41"/>
        <v>0</v>
      </c>
      <c r="AO74" s="168">
        <f t="shared" si="41"/>
        <v>0</v>
      </c>
      <c r="AP74" s="168">
        <f t="shared" si="41"/>
        <v>0</v>
      </c>
      <c r="AQ74" s="168">
        <f t="shared" si="41"/>
        <v>0</v>
      </c>
      <c r="AR74" s="168">
        <f t="shared" si="41"/>
        <v>0</v>
      </c>
      <c r="AS74" s="168">
        <f t="shared" si="41"/>
        <v>0</v>
      </c>
      <c r="AT74" s="168">
        <f t="shared" si="41"/>
        <v>0</v>
      </c>
      <c r="AU74" s="168">
        <f t="shared" si="41"/>
        <v>0</v>
      </c>
      <c r="AV74" s="168">
        <f t="shared" si="41"/>
        <v>0</v>
      </c>
      <c r="AW74" s="168">
        <f t="shared" si="41"/>
        <v>0</v>
      </c>
      <c r="AX74" s="168">
        <f t="shared" si="41"/>
        <v>0</v>
      </c>
      <c r="AY74" s="168">
        <f t="shared" si="41"/>
        <v>0</v>
      </c>
    </row>
    <row r="75" spans="1:51" s="178" customFormat="1" ht="23.25" x14ac:dyDescent="0.25">
      <c r="A75" s="182" t="s">
        <v>121</v>
      </c>
      <c r="B75" s="181" t="s">
        <v>162</v>
      </c>
      <c r="C75" s="180">
        <f>SUM(D75:AY75)</f>
        <v>33754.894096982171</v>
      </c>
      <c r="D75" s="179">
        <f t="shared" ref="D75:O75" si="42">IF(SUM(D71:D74)&lt;0,-SUM(D71:D74),0)</f>
        <v>552.29300299515603</v>
      </c>
      <c r="E75" s="179">
        <f t="shared" si="42"/>
        <v>2844.7242352937283</v>
      </c>
      <c r="F75" s="179">
        <f t="shared" si="42"/>
        <v>4709.6070765992636</v>
      </c>
      <c r="G75" s="179">
        <f t="shared" si="42"/>
        <v>6598.9088146848953</v>
      </c>
      <c r="H75" s="179">
        <f t="shared" si="42"/>
        <v>3458.3041068817429</v>
      </c>
      <c r="I75" s="179">
        <f t="shared" si="42"/>
        <v>15591.056860527384</v>
      </c>
      <c r="J75" s="179">
        <f t="shared" si="42"/>
        <v>0</v>
      </c>
      <c r="K75" s="179">
        <f t="shared" si="42"/>
        <v>0</v>
      </c>
      <c r="L75" s="179">
        <f t="shared" si="42"/>
        <v>0</v>
      </c>
      <c r="M75" s="179">
        <f t="shared" si="42"/>
        <v>0</v>
      </c>
      <c r="N75" s="179">
        <f t="shared" si="42"/>
        <v>0</v>
      </c>
      <c r="O75" s="179">
        <f t="shared" si="42"/>
        <v>0</v>
      </c>
      <c r="P75" s="179">
        <f t="shared" ref="P75:AY75" si="43">IF(SUM(P71:P74)&lt;0,-SUM(P71:P74),0)</f>
        <v>0</v>
      </c>
      <c r="Q75" s="179">
        <f t="shared" si="43"/>
        <v>0</v>
      </c>
      <c r="R75" s="179">
        <f t="shared" si="43"/>
        <v>0</v>
      </c>
      <c r="S75" s="179">
        <f t="shared" si="43"/>
        <v>0</v>
      </c>
      <c r="T75" s="179">
        <f t="shared" si="43"/>
        <v>0</v>
      </c>
      <c r="U75" s="179">
        <f t="shared" si="43"/>
        <v>0</v>
      </c>
      <c r="V75" s="179">
        <f t="shared" si="43"/>
        <v>0</v>
      </c>
      <c r="W75" s="179">
        <f t="shared" si="43"/>
        <v>0</v>
      </c>
      <c r="X75" s="179">
        <f t="shared" si="43"/>
        <v>0</v>
      </c>
      <c r="Y75" s="179">
        <f t="shared" si="43"/>
        <v>0</v>
      </c>
      <c r="Z75" s="179">
        <f t="shared" si="43"/>
        <v>0</v>
      </c>
      <c r="AA75" s="179">
        <f t="shared" si="43"/>
        <v>0</v>
      </c>
      <c r="AB75" s="179">
        <f t="shared" si="43"/>
        <v>0</v>
      </c>
      <c r="AC75" s="179">
        <f t="shared" si="43"/>
        <v>0</v>
      </c>
      <c r="AD75" s="179">
        <f t="shared" si="43"/>
        <v>0</v>
      </c>
      <c r="AE75" s="179">
        <f t="shared" si="43"/>
        <v>0</v>
      </c>
      <c r="AF75" s="179">
        <f t="shared" si="43"/>
        <v>0</v>
      </c>
      <c r="AG75" s="179">
        <f t="shared" si="43"/>
        <v>0</v>
      </c>
      <c r="AH75" s="179">
        <f t="shared" si="43"/>
        <v>0</v>
      </c>
      <c r="AI75" s="179">
        <f t="shared" si="43"/>
        <v>0</v>
      </c>
      <c r="AJ75" s="179">
        <f t="shared" si="43"/>
        <v>0</v>
      </c>
      <c r="AK75" s="179">
        <f t="shared" si="43"/>
        <v>0</v>
      </c>
      <c r="AL75" s="179">
        <f t="shared" si="43"/>
        <v>0</v>
      </c>
      <c r="AM75" s="179">
        <f t="shared" si="43"/>
        <v>0</v>
      </c>
      <c r="AN75" s="179">
        <f t="shared" si="43"/>
        <v>0</v>
      </c>
      <c r="AO75" s="179">
        <f t="shared" si="43"/>
        <v>0</v>
      </c>
      <c r="AP75" s="179">
        <f t="shared" si="43"/>
        <v>0</v>
      </c>
      <c r="AQ75" s="179">
        <f t="shared" si="43"/>
        <v>0</v>
      </c>
      <c r="AR75" s="179">
        <f t="shared" si="43"/>
        <v>0</v>
      </c>
      <c r="AS75" s="179">
        <f t="shared" si="43"/>
        <v>0</v>
      </c>
      <c r="AT75" s="179">
        <f t="shared" si="43"/>
        <v>0</v>
      </c>
      <c r="AU75" s="179">
        <f t="shared" si="43"/>
        <v>0</v>
      </c>
      <c r="AV75" s="179">
        <f t="shared" si="43"/>
        <v>0</v>
      </c>
      <c r="AW75" s="179">
        <f t="shared" si="43"/>
        <v>0</v>
      </c>
      <c r="AX75" s="179">
        <f t="shared" si="43"/>
        <v>0</v>
      </c>
      <c r="AY75" s="179">
        <f t="shared" si="43"/>
        <v>0</v>
      </c>
    </row>
    <row r="76" spans="1:51" s="150" customFormat="1" x14ac:dyDescent="0.25">
      <c r="A76" s="150" t="s">
        <v>120</v>
      </c>
      <c r="B76" s="177" t="s">
        <v>162</v>
      </c>
      <c r="C76" s="152"/>
      <c r="D76" s="176">
        <f t="shared" ref="D76:O76" si="44">D70+D75</f>
        <v>552.29300299515603</v>
      </c>
      <c r="E76" s="176">
        <f t="shared" si="44"/>
        <v>3397.0172382888841</v>
      </c>
      <c r="F76" s="176">
        <f t="shared" si="44"/>
        <v>8106.6243148881476</v>
      </c>
      <c r="G76" s="176">
        <f t="shared" si="44"/>
        <v>14705.533129573043</v>
      </c>
      <c r="H76" s="176">
        <f t="shared" si="44"/>
        <v>18163.837236454787</v>
      </c>
      <c r="I76" s="176">
        <f t="shared" si="44"/>
        <v>33754.894096982171</v>
      </c>
      <c r="J76" s="176">
        <f t="shared" si="44"/>
        <v>33754.894096982171</v>
      </c>
      <c r="K76" s="176">
        <f t="shared" si="44"/>
        <v>33754.894096982171</v>
      </c>
      <c r="L76" s="176">
        <f t="shared" si="44"/>
        <v>33754.894096982171</v>
      </c>
      <c r="M76" s="176">
        <f t="shared" si="44"/>
        <v>33754.894096982171</v>
      </c>
      <c r="N76" s="176">
        <f t="shared" si="44"/>
        <v>33754.894096982171</v>
      </c>
      <c r="O76" s="176">
        <f t="shared" si="44"/>
        <v>33754.894096982171</v>
      </c>
      <c r="P76" s="176">
        <f t="shared" ref="P76:AY76" si="45">P70+P75</f>
        <v>33754.894096982171</v>
      </c>
      <c r="Q76" s="176">
        <f t="shared" si="45"/>
        <v>33754.894096982171</v>
      </c>
      <c r="R76" s="176">
        <f t="shared" si="45"/>
        <v>33754.894096982171</v>
      </c>
      <c r="S76" s="176">
        <f t="shared" si="45"/>
        <v>33754.894096982171</v>
      </c>
      <c r="T76" s="176">
        <f t="shared" si="45"/>
        <v>33754.894096982171</v>
      </c>
      <c r="U76" s="176">
        <f t="shared" si="45"/>
        <v>33754.894096982171</v>
      </c>
      <c r="V76" s="176">
        <f t="shared" si="45"/>
        <v>33754.894096982171</v>
      </c>
      <c r="W76" s="176">
        <f t="shared" si="45"/>
        <v>33754.894096982171</v>
      </c>
      <c r="X76" s="176">
        <f t="shared" si="45"/>
        <v>33754.894096982171</v>
      </c>
      <c r="Y76" s="176">
        <f t="shared" si="45"/>
        <v>33754.894096982171</v>
      </c>
      <c r="Z76" s="176">
        <f t="shared" si="45"/>
        <v>33754.894096982171</v>
      </c>
      <c r="AA76" s="176">
        <f t="shared" si="45"/>
        <v>33754.894096982171</v>
      </c>
      <c r="AB76" s="176">
        <f t="shared" si="45"/>
        <v>33754.894096982171</v>
      </c>
      <c r="AC76" s="176">
        <f t="shared" si="45"/>
        <v>33754.894096982171</v>
      </c>
      <c r="AD76" s="176">
        <f t="shared" si="45"/>
        <v>33754.894096982171</v>
      </c>
      <c r="AE76" s="176">
        <f t="shared" si="45"/>
        <v>33754.894096982171</v>
      </c>
      <c r="AF76" s="176">
        <f t="shared" si="45"/>
        <v>33754.894096982171</v>
      </c>
      <c r="AG76" s="176">
        <f t="shared" si="45"/>
        <v>33754.894096982171</v>
      </c>
      <c r="AH76" s="176">
        <f t="shared" si="45"/>
        <v>33754.894096982171</v>
      </c>
      <c r="AI76" s="176">
        <f t="shared" si="45"/>
        <v>33754.894096982171</v>
      </c>
      <c r="AJ76" s="176">
        <f t="shared" si="45"/>
        <v>33754.894096982171</v>
      </c>
      <c r="AK76" s="176">
        <f t="shared" si="45"/>
        <v>33754.894096982171</v>
      </c>
      <c r="AL76" s="176">
        <f t="shared" si="45"/>
        <v>33754.894096982171</v>
      </c>
      <c r="AM76" s="176">
        <f t="shared" si="45"/>
        <v>33754.894096982171</v>
      </c>
      <c r="AN76" s="176">
        <f t="shared" si="45"/>
        <v>33754.894096982171</v>
      </c>
      <c r="AO76" s="176">
        <f t="shared" si="45"/>
        <v>33754.894096982171</v>
      </c>
      <c r="AP76" s="176">
        <f t="shared" si="45"/>
        <v>33754.894096982171</v>
      </c>
      <c r="AQ76" s="176">
        <f t="shared" si="45"/>
        <v>33754.894096982171</v>
      </c>
      <c r="AR76" s="176">
        <f t="shared" si="45"/>
        <v>33754.894096982171</v>
      </c>
      <c r="AS76" s="176">
        <f t="shared" si="45"/>
        <v>33754.894096982171</v>
      </c>
      <c r="AT76" s="176">
        <f t="shared" si="45"/>
        <v>33754.894096982171</v>
      </c>
      <c r="AU76" s="176">
        <f t="shared" si="45"/>
        <v>33754.894096982171</v>
      </c>
      <c r="AV76" s="176">
        <f t="shared" si="45"/>
        <v>33754.894096982171</v>
      </c>
      <c r="AW76" s="176">
        <f t="shared" si="45"/>
        <v>33754.894096982171</v>
      </c>
      <c r="AX76" s="176">
        <f t="shared" si="45"/>
        <v>33754.894096982171</v>
      </c>
      <c r="AY76" s="176">
        <f t="shared" si="45"/>
        <v>33754.894096982171</v>
      </c>
    </row>
    <row r="77" spans="1:51" s="157" customFormat="1" ht="74.45" customHeight="1" x14ac:dyDescent="0.25">
      <c r="B77" s="159"/>
      <c r="C77" s="147"/>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row>
    <row r="78" spans="1:51" s="170" customFormat="1" ht="61.35" customHeight="1" x14ac:dyDescent="0.25">
      <c r="A78" s="174" t="s">
        <v>119</v>
      </c>
      <c r="B78" s="173"/>
      <c r="C78" s="172"/>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row>
    <row r="79" spans="1:51" s="49" customFormat="1" ht="43.7" customHeight="1" x14ac:dyDescent="0.25">
      <c r="A79" s="155" t="s">
        <v>118</v>
      </c>
      <c r="B79" s="29"/>
      <c r="C79" s="62"/>
      <c r="D79" s="62"/>
      <c r="E79" s="62"/>
      <c r="F79" s="62"/>
      <c r="G79" s="62"/>
      <c r="H79" s="62"/>
      <c r="I79" s="62"/>
      <c r="J79" s="62"/>
      <c r="K79" s="62"/>
      <c r="L79" s="62"/>
      <c r="M79" s="62"/>
      <c r="N79" s="62"/>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row>
    <row r="80" spans="1:51" ht="18.75" x14ac:dyDescent="0.3">
      <c r="A80" s="169" t="s">
        <v>117</v>
      </c>
    </row>
    <row r="81" spans="1:51" ht="18.75" x14ac:dyDescent="0.3">
      <c r="A81" s="169" t="s">
        <v>116</v>
      </c>
    </row>
    <row r="82" spans="1:51" x14ac:dyDescent="0.25">
      <c r="A82" s="224" t="str">
        <f>'business model (in Real terms)'!A192</f>
        <v>Assessable Income</v>
      </c>
      <c r="B82" s="225" t="str">
        <f>'business model (in Real terms)'!B192</f>
        <v>$ Real</v>
      </c>
      <c r="C82" s="226">
        <f>'business model (in Real terms)'!C192</f>
        <v>124576.66969031998</v>
      </c>
      <c r="D82" s="226">
        <f>'business model (in Real terms)'!D192</f>
        <v>-1100</v>
      </c>
      <c r="E82" s="226">
        <f>'business model (in Real terms)'!E192</f>
        <v>-749.62121212121201</v>
      </c>
      <c r="F82" s="226">
        <f>'business model (in Real terms)'!F192</f>
        <v>-571.31470959595936</v>
      </c>
      <c r="G82" s="226">
        <f>'business model (in Real terms)'!G192</f>
        <v>-472.48050163089169</v>
      </c>
      <c r="H82" s="226">
        <f>'business model (in Real terms)'!H192</f>
        <v>-1222.296248756006</v>
      </c>
      <c r="I82" s="226">
        <f>'business model (in Real terms)'!I192</f>
        <v>-1123.1575011493464</v>
      </c>
      <c r="J82" s="226">
        <f>'business model (in Real terms)'!J192</f>
        <v>282.55221951853673</v>
      </c>
      <c r="K82" s="226">
        <f>'business model (in Real terms)'!K192</f>
        <v>590.42707858159793</v>
      </c>
      <c r="L82" s="226">
        <f>'business model (in Real terms)'!L192</f>
        <v>829.53295383842033</v>
      </c>
      <c r="M82" s="226">
        <f>'business model (in Real terms)'!M192</f>
        <v>1092.9837066940599</v>
      </c>
      <c r="N82" s="226">
        <f>'business model (in Real terms)'!N192</f>
        <v>1383.2047771985381</v>
      </c>
      <c r="O82" s="226">
        <f>'business model (in Real terms)'!O192</f>
        <v>1702.8643379008408</v>
      </c>
      <c r="P82" s="226">
        <f>'business model (in Real terms)'!P192</f>
        <v>2054.8975631718477</v>
      </c>
      <c r="Q82" s="226">
        <f>'business model (in Real terms)'!Q192</f>
        <v>2442.5333255413716</v>
      </c>
      <c r="R82" s="226">
        <f>'business model (in Real terms)'!R192</f>
        <v>3401.3233300490338</v>
      </c>
      <c r="S82" s="226">
        <f>'business model (in Real terms)'!S192</f>
        <v>3398.2217036086186</v>
      </c>
      <c r="T82" s="226">
        <f>'business model (in Real terms)'!T192</f>
        <v>3395.1846943857126</v>
      </c>
      <c r="U82" s="226">
        <f>'business model (in Real terms)'!U192</f>
        <v>3392.2109561882826</v>
      </c>
      <c r="V82" s="226">
        <f>'business model (in Real terms)'!V192</f>
        <v>3389.2991708699665</v>
      </c>
      <c r="W82" s="226">
        <f>'business model (in Real terms)'!W192</f>
        <v>3386.4480477457819</v>
      </c>
      <c r="X82" s="226">
        <f>'business model (in Real terms)'!X192</f>
        <v>3383.6563230200172</v>
      </c>
      <c r="Y82" s="226">
        <f>'business model (in Real terms)'!Y192</f>
        <v>3380.9227592260395</v>
      </c>
      <c r="Z82" s="226">
        <f>'business model (in Real terms)'!Z192</f>
        <v>3378.2461446777688</v>
      </c>
      <c r="AA82" s="226">
        <f>'business model (in Real terms)'!AA192</f>
        <v>3375.6252929325892</v>
      </c>
      <c r="AB82" s="226">
        <f>'business model (in Real terms)'!AB192</f>
        <v>3373.0590422654332</v>
      </c>
      <c r="AC82" s="226">
        <f>'business model (in Real terms)'!AC192</f>
        <v>3370.5462551538421</v>
      </c>
      <c r="AD82" s="226">
        <f>'business model (in Real terms)'!AD192</f>
        <v>3368.0858177737427</v>
      </c>
      <c r="AE82" s="226">
        <f>'business model (in Real terms)'!AE192</f>
        <v>3365.6766395057293</v>
      </c>
      <c r="AF82" s="226">
        <f>'business model (in Real terms)'!AF192</f>
        <v>3363.317652451633</v>
      </c>
      <c r="AG82" s="226">
        <f>'business model (in Real terms)'!AG192</f>
        <v>3361.0078109611641</v>
      </c>
      <c r="AH82" s="226">
        <f>'business model (in Real terms)'!AH192</f>
        <v>3358.746091168412</v>
      </c>
      <c r="AI82" s="226">
        <f>'business model (in Real terms)'!AI192</f>
        <v>3356.5314905380092</v>
      </c>
      <c r="AJ82" s="226">
        <f>'business model (in Real terms)'!AJ192</f>
        <v>3354.3630274207408</v>
      </c>
      <c r="AK82" s="226">
        <f>'business model (in Real terms)'!AK192</f>
        <v>3352.2397406184136</v>
      </c>
      <c r="AL82" s="226">
        <f>'business model (in Real terms)'!AL192</f>
        <v>3350.1606889578034</v>
      </c>
      <c r="AM82" s="226">
        <f>'business model (in Real terms)'!AM192</f>
        <v>3348.1249508734545</v>
      </c>
      <c r="AN82" s="226">
        <f>'business model (in Real terms)'!AN192</f>
        <v>3346.1316239991975</v>
      </c>
      <c r="AO82" s="226">
        <f>'business model (in Real terms)'!AO192</f>
        <v>3344.1798247681527</v>
      </c>
      <c r="AP82" s="226">
        <f>'business model (in Real terms)'!AP192</f>
        <v>3342.2686880210895</v>
      </c>
      <c r="AQ82" s="226">
        <f>'business model (in Real terms)'!AQ192</f>
        <v>3340.3973666229231</v>
      </c>
      <c r="AR82" s="226">
        <f>'business model (in Real terms)'!AR192</f>
        <v>3338.5650310872188</v>
      </c>
      <c r="AS82" s="226">
        <f>'business model (in Real terms)'!AS192</f>
        <v>3336.7708692085071</v>
      </c>
      <c r="AT82" s="226">
        <f>'business model (in Real terms)'!AT192</f>
        <v>3335.0140857022689</v>
      </c>
      <c r="AU82" s="226">
        <f>'business model (in Real terms)'!AU192</f>
        <v>3333.2939018524121</v>
      </c>
      <c r="AV82" s="226">
        <f>'business model (in Real terms)'!AV192</f>
        <v>3331.6095551660928</v>
      </c>
      <c r="AW82" s="226">
        <f>'business model (in Real terms)'!AW192</f>
        <v>3329.960299035738</v>
      </c>
      <c r="AX82" s="226">
        <f>'business model (in Real terms)'!AX192</f>
        <v>3258.2696448323422</v>
      </c>
      <c r="AY82" s="226">
        <f>'business model (in Real terms)'!AY192</f>
        <v>8597.0853804400031</v>
      </c>
    </row>
    <row r="83" spans="1:51" s="145" customFormat="1" x14ac:dyDescent="0.25">
      <c r="A83" s="149" t="str">
        <f>A$38</f>
        <v>Inflator - $</v>
      </c>
      <c r="B83" s="148"/>
      <c r="C83" s="147"/>
      <c r="D83" s="230">
        <f t="shared" ref="D83:O83" si="46">D$38</f>
        <v>1.0008329864001619</v>
      </c>
      <c r="E83" s="230">
        <f t="shared" si="46"/>
        <v>1.0025010413774955</v>
      </c>
      <c r="F83" s="230">
        <f t="shared" si="46"/>
        <v>1.004171876446458</v>
      </c>
      <c r="G83" s="230">
        <f t="shared" si="46"/>
        <v>1.0058454962405354</v>
      </c>
      <c r="H83" s="230">
        <f t="shared" si="46"/>
        <v>1.0075219054009363</v>
      </c>
      <c r="I83" s="230">
        <f t="shared" si="46"/>
        <v>1.0092011085766046</v>
      </c>
      <c r="J83" s="230">
        <f t="shared" si="46"/>
        <v>1.0108831104242324</v>
      </c>
      <c r="K83" s="230">
        <f t="shared" si="46"/>
        <v>1.0125679156082728</v>
      </c>
      <c r="L83" s="230">
        <f t="shared" si="46"/>
        <v>1.0142555288009532</v>
      </c>
      <c r="M83" s="230">
        <f t="shared" si="46"/>
        <v>1.0159459546822882</v>
      </c>
      <c r="N83" s="230">
        <f t="shared" si="46"/>
        <v>1.0176391979400921</v>
      </c>
      <c r="O83" s="230">
        <f t="shared" si="46"/>
        <v>1.0193352632699924</v>
      </c>
      <c r="P83" s="230">
        <f t="shared" ref="P83:AY83" si="47">P$38</f>
        <v>1.0210341553754423</v>
      </c>
      <c r="Q83" s="230">
        <f t="shared" si="47"/>
        <v>1.0227358789677348</v>
      </c>
      <c r="R83" s="230">
        <f t="shared" si="47"/>
        <v>1.0244404387660144</v>
      </c>
      <c r="S83" s="230">
        <f t="shared" si="47"/>
        <v>1.0261478394972912</v>
      </c>
      <c r="T83" s="230">
        <f t="shared" si="47"/>
        <v>1.0278580858964534</v>
      </c>
      <c r="U83" s="230">
        <f t="shared" si="47"/>
        <v>1.029571182706281</v>
      </c>
      <c r="V83" s="230">
        <f t="shared" si="47"/>
        <v>1.0312871346774581</v>
      </c>
      <c r="W83" s="230">
        <f t="shared" si="47"/>
        <v>1.0330059465685872</v>
      </c>
      <c r="X83" s="230">
        <f t="shared" si="47"/>
        <v>1.0347276231462017</v>
      </c>
      <c r="Y83" s="230">
        <f t="shared" si="47"/>
        <v>1.0364521691847788</v>
      </c>
      <c r="Z83" s="230">
        <f t="shared" si="47"/>
        <v>1.0381795894667534</v>
      </c>
      <c r="AA83" s="230">
        <f t="shared" si="47"/>
        <v>1.0399098887825313</v>
      </c>
      <c r="AB83" s="230">
        <f t="shared" si="47"/>
        <v>1.0416430719305023</v>
      </c>
      <c r="AC83" s="230">
        <f t="shared" si="47"/>
        <v>1.0433791437170532</v>
      </c>
      <c r="AD83" s="230">
        <f t="shared" si="47"/>
        <v>1.0451181089565817</v>
      </c>
      <c r="AE83" s="230">
        <f t="shared" si="47"/>
        <v>1.0468599724715095</v>
      </c>
      <c r="AF83" s="230">
        <f t="shared" si="47"/>
        <v>1.0486047390922955</v>
      </c>
      <c r="AG83" s="230">
        <f t="shared" si="47"/>
        <v>1.0503524136574494</v>
      </c>
      <c r="AH83" s="230">
        <f t="shared" si="47"/>
        <v>1.052103001013545</v>
      </c>
      <c r="AI83" s="230">
        <f t="shared" si="47"/>
        <v>1.0538565060152343</v>
      </c>
      <c r="AJ83" s="230">
        <f t="shared" si="47"/>
        <v>1.0556129335252598</v>
      </c>
      <c r="AK83" s="230">
        <f t="shared" si="47"/>
        <v>1.0573722884144685</v>
      </c>
      <c r="AL83" s="230">
        <f t="shared" si="47"/>
        <v>1.059134575561826</v>
      </c>
      <c r="AM83" s="230">
        <f t="shared" si="47"/>
        <v>1.0608997998544292</v>
      </c>
      <c r="AN83" s="230">
        <f t="shared" si="47"/>
        <v>1.06266796618752</v>
      </c>
      <c r="AO83" s="230">
        <f t="shared" si="47"/>
        <v>1.0644390794644993</v>
      </c>
      <c r="AP83" s="230">
        <f t="shared" si="47"/>
        <v>1.0662131445969403</v>
      </c>
      <c r="AQ83" s="230">
        <f t="shared" si="47"/>
        <v>1.0679901665046019</v>
      </c>
      <c r="AR83" s="230">
        <f t="shared" si="47"/>
        <v>1.0697701501154429</v>
      </c>
      <c r="AS83" s="230">
        <f t="shared" si="47"/>
        <v>1.0715531003656353</v>
      </c>
      <c r="AT83" s="230">
        <f t="shared" si="47"/>
        <v>1.073339022199578</v>
      </c>
      <c r="AU83" s="230">
        <f t="shared" si="47"/>
        <v>1.0751279205699107</v>
      </c>
      <c r="AV83" s="230">
        <f t="shared" si="47"/>
        <v>1.0769198004375273</v>
      </c>
      <c r="AW83" s="230">
        <f t="shared" si="47"/>
        <v>1.0787146667715899</v>
      </c>
      <c r="AX83" s="230">
        <f t="shared" si="47"/>
        <v>1.0805125245495426</v>
      </c>
      <c r="AY83" s="230">
        <f t="shared" si="47"/>
        <v>1.0823133787571253</v>
      </c>
    </row>
    <row r="84" spans="1:51" s="150" customFormat="1" x14ac:dyDescent="0.25">
      <c r="A84" s="163" t="s">
        <v>115</v>
      </c>
      <c r="B84" s="153" t="s">
        <v>162</v>
      </c>
      <c r="C84" s="152">
        <f>SUM(D84:AY84)</f>
        <v>131228.57047104827</v>
      </c>
      <c r="D84" s="167">
        <f t="shared" ref="D84:O84" si="48">D82*D83</f>
        <v>-1100.9162850401781</v>
      </c>
      <c r="E84" s="167">
        <f t="shared" si="48"/>
        <v>-751.49604579017546</v>
      </c>
      <c r="F84" s="167">
        <f t="shared" si="48"/>
        <v>-573.69816397643774</v>
      </c>
      <c r="G84" s="167">
        <f t="shared" si="48"/>
        <v>-475.24238462690136</v>
      </c>
      <c r="H84" s="167">
        <f t="shared" si="48"/>
        <v>-1231.490245511068</v>
      </c>
      <c r="I84" s="167">
        <f t="shared" si="48"/>
        <v>-1133.4917952660494</v>
      </c>
      <c r="J84" s="167">
        <f t="shared" si="48"/>
        <v>285.62726652416893</v>
      </c>
      <c r="K84" s="167">
        <f t="shared" si="48"/>
        <v>597.84751627805042</v>
      </c>
      <c r="L84" s="167">
        <f t="shared" si="48"/>
        <v>841.35838475320372</v>
      </c>
      <c r="M84" s="167">
        <f t="shared" si="48"/>
        <v>1110.4123753494828</v>
      </c>
      <c r="N84" s="167">
        <f t="shared" si="48"/>
        <v>1407.603400055224</v>
      </c>
      <c r="O84" s="167">
        <f t="shared" si="48"/>
        <v>1735.7896681872348</v>
      </c>
      <c r="P84" s="167">
        <f t="shared" ref="P84:AY84" si="49">P82*P83</f>
        <v>2098.1205977962222</v>
      </c>
      <c r="Q84" s="167">
        <f t="shared" si="49"/>
        <v>2498.0664676055389</v>
      </c>
      <c r="R84" s="167">
        <f t="shared" si="49"/>
        <v>3484.4531646205132</v>
      </c>
      <c r="S84" s="167">
        <f t="shared" si="49"/>
        <v>3487.0778592907882</v>
      </c>
      <c r="T84" s="167">
        <f t="shared" si="49"/>
        <v>3489.7680412362338</v>
      </c>
      <c r="U84" s="167">
        <f t="shared" si="49"/>
        <v>3492.5226461519746</v>
      </c>
      <c r="V84" s="167">
        <f t="shared" si="49"/>
        <v>3495.3406304911723</v>
      </c>
      <c r="W84" s="167">
        <f t="shared" si="49"/>
        <v>3498.2209710669758</v>
      </c>
      <c r="X84" s="167">
        <f t="shared" si="49"/>
        <v>3501.1626646621189</v>
      </c>
      <c r="Y84" s="167">
        <f t="shared" si="49"/>
        <v>3504.1647276460162</v>
      </c>
      <c r="Z84" s="167">
        <f t="shared" si="49"/>
        <v>3507.2261955992085</v>
      </c>
      <c r="AA84" s="167">
        <f t="shared" si="49"/>
        <v>3510.3461229450286</v>
      </c>
      <c r="AB84" s="167">
        <f t="shared" si="49"/>
        <v>3513.5235825883237</v>
      </c>
      <c r="AC84" s="167">
        <f t="shared" si="49"/>
        <v>3516.757665561136</v>
      </c>
      <c r="AD84" s="167">
        <f t="shared" si="49"/>
        <v>3520.0474806751763</v>
      </c>
      <c r="AE84" s="167">
        <f t="shared" si="49"/>
        <v>3523.3921541809705</v>
      </c>
      <c r="AF84" s="167">
        <f t="shared" si="49"/>
        <v>3526.7908294335562</v>
      </c>
      <c r="AG84" s="167">
        <f t="shared" si="49"/>
        <v>3530.2426665645989</v>
      </c>
      <c r="AH84" s="167">
        <f t="shared" si="49"/>
        <v>3533.7468421608</v>
      </c>
      <c r="AI84" s="167">
        <f t="shared" si="49"/>
        <v>3537.3025489484926</v>
      </c>
      <c r="AJ84" s="167">
        <f t="shared" si="49"/>
        <v>3540.9089954842793</v>
      </c>
      <c r="AK84" s="167">
        <f t="shared" si="49"/>
        <v>3544.5654058516166</v>
      </c>
      <c r="AL84" s="167">
        <f t="shared" si="49"/>
        <v>3548.2710193632374</v>
      </c>
      <c r="AM84" s="167">
        <f t="shared" si="49"/>
        <v>3552.0250902692683</v>
      </c>
      <c r="AN84" s="167">
        <f t="shared" si="49"/>
        <v>3555.8268874709706</v>
      </c>
      <c r="AO84" s="167">
        <f t="shared" si="49"/>
        <v>3559.6756942399629</v>
      </c>
      <c r="AP84" s="167">
        <f t="shared" si="49"/>
        <v>3563.5708079428559</v>
      </c>
      <c r="AQ84" s="167">
        <f t="shared" si="49"/>
        <v>3567.5115397711493</v>
      </c>
      <c r="AR84" s="167">
        <f t="shared" si="49"/>
        <v>3571.4972144763424</v>
      </c>
      <c r="AS84" s="167">
        <f t="shared" si="49"/>
        <v>3575.5271701101115</v>
      </c>
      <c r="AT84" s="167">
        <f t="shared" si="49"/>
        <v>3579.6007577694927</v>
      </c>
      <c r="AU84" s="167">
        <f t="shared" si="49"/>
        <v>3583.7173413469477</v>
      </c>
      <c r="AV84" s="167">
        <f t="shared" si="49"/>
        <v>3587.8762972852278</v>
      </c>
      <c r="AW84" s="167">
        <f t="shared" si="49"/>
        <v>3592.07701433696</v>
      </c>
      <c r="AX84" s="167">
        <f t="shared" si="49"/>
        <v>3520.6011596009357</v>
      </c>
      <c r="AY84" s="167">
        <f t="shared" si="49"/>
        <v>9304.7405255675058</v>
      </c>
    </row>
    <row r="85" spans="1:51" s="150" customFormat="1" x14ac:dyDescent="0.25">
      <c r="A85" s="163" t="s">
        <v>114</v>
      </c>
      <c r="B85" s="153"/>
      <c r="C85" s="152"/>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row>
    <row r="86" spans="1:51" s="150" customFormat="1" x14ac:dyDescent="0.25">
      <c r="A86" s="163" t="str">
        <f>A66</f>
        <v xml:space="preserve">Interest - paid </v>
      </c>
      <c r="B86" s="153" t="str">
        <f>B66</f>
        <v>$ Nominal</v>
      </c>
      <c r="C86" s="152">
        <f>SUM(D86:AY86)</f>
        <v>1646.8836878253464</v>
      </c>
      <c r="D86" s="168">
        <f t="shared" ref="D86:O86" si="50">D66</f>
        <v>1.8348604750669635</v>
      </c>
      <c r="E86" s="168">
        <f t="shared" si="50"/>
        <v>14.937204859980055</v>
      </c>
      <c r="F86" s="168">
        <f t="shared" si="50"/>
        <v>49.336686363657066</v>
      </c>
      <c r="G86" s="168">
        <f t="shared" si="50"/>
        <v>102.0613139676187</v>
      </c>
      <c r="H86" s="168">
        <f t="shared" si="50"/>
        <v>156.3800441814017</v>
      </c>
      <c r="I86" s="168">
        <f t="shared" si="50"/>
        <v>218.92858084404708</v>
      </c>
      <c r="J86" s="168">
        <f t="shared" si="50"/>
        <v>246.27198562004153</v>
      </c>
      <c r="K86" s="168">
        <f t="shared" si="50"/>
        <v>137.4054190698061</v>
      </c>
      <c r="L86" s="168">
        <f t="shared" si="50"/>
        <v>132.35092207973324</v>
      </c>
      <c r="M86" s="168">
        <f t="shared" si="50"/>
        <v>124.74284517733859</v>
      </c>
      <c r="N86" s="168">
        <f t="shared" si="50"/>
        <v>114.31775070215814</v>
      </c>
      <c r="O86" s="168">
        <f t="shared" si="50"/>
        <v>101.33130324144535</v>
      </c>
      <c r="P86" s="168">
        <f t="shared" ref="P86:AY86" si="51">P66</f>
        <v>87.212101727001709</v>
      </c>
      <c r="Q86" s="168">
        <f t="shared" si="51"/>
        <v>72.051653840159318</v>
      </c>
      <c r="R86" s="168">
        <f t="shared" si="51"/>
        <v>52.395261505380581</v>
      </c>
      <c r="S86" s="168">
        <f t="shared" si="51"/>
        <v>27.770706402952499</v>
      </c>
      <c r="T86" s="168">
        <f t="shared" si="51"/>
        <v>7.5550477675577934</v>
      </c>
      <c r="U86" s="168">
        <f t="shared" si="51"/>
        <v>0</v>
      </c>
      <c r="V86" s="168">
        <f t="shared" si="51"/>
        <v>0</v>
      </c>
      <c r="W86" s="168">
        <f t="shared" si="51"/>
        <v>0</v>
      </c>
      <c r="X86" s="168">
        <f t="shared" si="51"/>
        <v>0</v>
      </c>
      <c r="Y86" s="168">
        <f t="shared" si="51"/>
        <v>0</v>
      </c>
      <c r="Z86" s="168">
        <f t="shared" si="51"/>
        <v>0</v>
      </c>
      <c r="AA86" s="168">
        <f t="shared" si="51"/>
        <v>0</v>
      </c>
      <c r="AB86" s="168">
        <f t="shared" si="51"/>
        <v>0</v>
      </c>
      <c r="AC86" s="168">
        <f t="shared" si="51"/>
        <v>0</v>
      </c>
      <c r="AD86" s="168">
        <f t="shared" si="51"/>
        <v>0</v>
      </c>
      <c r="AE86" s="168">
        <f t="shared" si="51"/>
        <v>0</v>
      </c>
      <c r="AF86" s="168">
        <f t="shared" si="51"/>
        <v>0</v>
      </c>
      <c r="AG86" s="168">
        <f t="shared" si="51"/>
        <v>0</v>
      </c>
      <c r="AH86" s="168">
        <f t="shared" si="51"/>
        <v>0</v>
      </c>
      <c r="AI86" s="168">
        <f t="shared" si="51"/>
        <v>0</v>
      </c>
      <c r="AJ86" s="168">
        <f t="shared" si="51"/>
        <v>0</v>
      </c>
      <c r="AK86" s="168">
        <f t="shared" si="51"/>
        <v>0</v>
      </c>
      <c r="AL86" s="168">
        <f t="shared" si="51"/>
        <v>0</v>
      </c>
      <c r="AM86" s="168">
        <f t="shared" si="51"/>
        <v>0</v>
      </c>
      <c r="AN86" s="168">
        <f t="shared" si="51"/>
        <v>0</v>
      </c>
      <c r="AO86" s="168">
        <f t="shared" si="51"/>
        <v>0</v>
      </c>
      <c r="AP86" s="168">
        <f t="shared" si="51"/>
        <v>0</v>
      </c>
      <c r="AQ86" s="168">
        <f t="shared" si="51"/>
        <v>0</v>
      </c>
      <c r="AR86" s="168">
        <f t="shared" si="51"/>
        <v>0</v>
      </c>
      <c r="AS86" s="168">
        <f t="shared" si="51"/>
        <v>0</v>
      </c>
      <c r="AT86" s="168">
        <f t="shared" si="51"/>
        <v>0</v>
      </c>
      <c r="AU86" s="168">
        <f t="shared" si="51"/>
        <v>0</v>
      </c>
      <c r="AV86" s="168">
        <f t="shared" si="51"/>
        <v>0</v>
      </c>
      <c r="AW86" s="168">
        <f t="shared" si="51"/>
        <v>0</v>
      </c>
      <c r="AX86" s="168">
        <f t="shared" si="51"/>
        <v>0</v>
      </c>
      <c r="AY86" s="168">
        <f t="shared" si="51"/>
        <v>0</v>
      </c>
    </row>
    <row r="87" spans="1:51" s="150" customFormat="1" x14ac:dyDescent="0.25">
      <c r="A87" s="163" t="s">
        <v>113</v>
      </c>
      <c r="B87" s="153" t="s">
        <v>162</v>
      </c>
      <c r="C87" s="152">
        <f>SUM(D87:AY87)</f>
        <v>129581.68678322292</v>
      </c>
      <c r="D87" s="167">
        <f t="shared" ref="D87:O87" si="52">D84-D86</f>
        <v>-1102.7511455152451</v>
      </c>
      <c r="E87" s="167">
        <f t="shared" si="52"/>
        <v>-766.43325065015551</v>
      </c>
      <c r="F87" s="167">
        <f t="shared" si="52"/>
        <v>-623.03485034009486</v>
      </c>
      <c r="G87" s="167">
        <f t="shared" si="52"/>
        <v>-577.30369859452003</v>
      </c>
      <c r="H87" s="167">
        <f t="shared" si="52"/>
        <v>-1387.8702896924697</v>
      </c>
      <c r="I87" s="167">
        <f t="shared" si="52"/>
        <v>-1352.4203761100964</v>
      </c>
      <c r="J87" s="167">
        <f t="shared" si="52"/>
        <v>39.355280904127397</v>
      </c>
      <c r="K87" s="167">
        <f t="shared" si="52"/>
        <v>460.44209720824432</v>
      </c>
      <c r="L87" s="167">
        <f t="shared" si="52"/>
        <v>709.00746267347051</v>
      </c>
      <c r="M87" s="167">
        <f t="shared" si="52"/>
        <v>985.66953017214416</v>
      </c>
      <c r="N87" s="167">
        <f t="shared" si="52"/>
        <v>1293.285649353066</v>
      </c>
      <c r="O87" s="167">
        <f t="shared" si="52"/>
        <v>1634.4583649457895</v>
      </c>
      <c r="P87" s="167">
        <f t="shared" ref="P87:AY87" si="53">P84-P86</f>
        <v>2010.9084960692205</v>
      </c>
      <c r="Q87" s="167">
        <f t="shared" si="53"/>
        <v>2426.0148137653796</v>
      </c>
      <c r="R87" s="167">
        <f t="shared" si="53"/>
        <v>3432.0579031151328</v>
      </c>
      <c r="S87" s="167">
        <f t="shared" si="53"/>
        <v>3459.3071528878359</v>
      </c>
      <c r="T87" s="167">
        <f t="shared" si="53"/>
        <v>3482.2129934686759</v>
      </c>
      <c r="U87" s="167">
        <f t="shared" si="53"/>
        <v>3492.5226461519746</v>
      </c>
      <c r="V87" s="167">
        <f t="shared" si="53"/>
        <v>3495.3406304911723</v>
      </c>
      <c r="W87" s="167">
        <f t="shared" si="53"/>
        <v>3498.2209710669758</v>
      </c>
      <c r="X87" s="167">
        <f t="shared" si="53"/>
        <v>3501.1626646621189</v>
      </c>
      <c r="Y87" s="167">
        <f t="shared" si="53"/>
        <v>3504.1647276460162</v>
      </c>
      <c r="Z87" s="167">
        <f t="shared" si="53"/>
        <v>3507.2261955992085</v>
      </c>
      <c r="AA87" s="167">
        <f t="shared" si="53"/>
        <v>3510.3461229450286</v>
      </c>
      <c r="AB87" s="167">
        <f t="shared" si="53"/>
        <v>3513.5235825883237</v>
      </c>
      <c r="AC87" s="167">
        <f t="shared" si="53"/>
        <v>3516.757665561136</v>
      </c>
      <c r="AD87" s="167">
        <f t="shared" si="53"/>
        <v>3520.0474806751763</v>
      </c>
      <c r="AE87" s="167">
        <f t="shared" si="53"/>
        <v>3523.3921541809705</v>
      </c>
      <c r="AF87" s="167">
        <f t="shared" si="53"/>
        <v>3526.7908294335562</v>
      </c>
      <c r="AG87" s="167">
        <f t="shared" si="53"/>
        <v>3530.2426665645989</v>
      </c>
      <c r="AH87" s="167">
        <f t="shared" si="53"/>
        <v>3533.7468421608</v>
      </c>
      <c r="AI87" s="167">
        <f t="shared" si="53"/>
        <v>3537.3025489484926</v>
      </c>
      <c r="AJ87" s="167">
        <f t="shared" si="53"/>
        <v>3540.9089954842793</v>
      </c>
      <c r="AK87" s="167">
        <f t="shared" si="53"/>
        <v>3544.5654058516166</v>
      </c>
      <c r="AL87" s="167">
        <f t="shared" si="53"/>
        <v>3548.2710193632374</v>
      </c>
      <c r="AM87" s="167">
        <f t="shared" si="53"/>
        <v>3552.0250902692683</v>
      </c>
      <c r="AN87" s="167">
        <f t="shared" si="53"/>
        <v>3555.8268874709706</v>
      </c>
      <c r="AO87" s="167">
        <f t="shared" si="53"/>
        <v>3559.6756942399629</v>
      </c>
      <c r="AP87" s="167">
        <f t="shared" si="53"/>
        <v>3563.5708079428559</v>
      </c>
      <c r="AQ87" s="167">
        <f t="shared" si="53"/>
        <v>3567.5115397711493</v>
      </c>
      <c r="AR87" s="167">
        <f t="shared" si="53"/>
        <v>3571.4972144763424</v>
      </c>
      <c r="AS87" s="167">
        <f t="shared" si="53"/>
        <v>3575.5271701101115</v>
      </c>
      <c r="AT87" s="167">
        <f t="shared" si="53"/>
        <v>3579.6007577694927</v>
      </c>
      <c r="AU87" s="167">
        <f t="shared" si="53"/>
        <v>3583.7173413469477</v>
      </c>
      <c r="AV87" s="167">
        <f t="shared" si="53"/>
        <v>3587.8762972852278</v>
      </c>
      <c r="AW87" s="167">
        <f t="shared" si="53"/>
        <v>3592.07701433696</v>
      </c>
      <c r="AX87" s="167">
        <f t="shared" si="53"/>
        <v>3520.6011596009357</v>
      </c>
      <c r="AY87" s="167">
        <f t="shared" si="53"/>
        <v>9304.7405255675058</v>
      </c>
    </row>
    <row r="88" spans="1:51" s="42" customFormat="1" ht="16.5" thickBot="1" x14ac:dyDescent="0.3">
      <c r="A88" s="143"/>
      <c r="B88" s="109"/>
      <c r="C88" s="43"/>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row>
    <row r="89" spans="1:51" s="150" customFormat="1" ht="16.5" thickBot="1" x14ac:dyDescent="0.3">
      <c r="A89" s="163" t="s">
        <v>112</v>
      </c>
      <c r="B89" s="153" t="s">
        <v>162</v>
      </c>
      <c r="C89" s="152"/>
      <c r="D89" s="166">
        <v>0</v>
      </c>
      <c r="E89" s="151">
        <f t="shared" ref="E89:O89" si="54">D92</f>
        <v>-1102.7511455152451</v>
      </c>
      <c r="F89" s="151">
        <f t="shared" si="54"/>
        <v>-1869.1843961654006</v>
      </c>
      <c r="G89" s="151">
        <f t="shared" si="54"/>
        <v>-2492.2192465054954</v>
      </c>
      <c r="H89" s="151">
        <f t="shared" si="54"/>
        <v>-3069.5229451000155</v>
      </c>
      <c r="I89" s="151">
        <f t="shared" si="54"/>
        <v>-4457.3932347924856</v>
      </c>
      <c r="J89" s="151">
        <f t="shared" si="54"/>
        <v>-5809.8136109025818</v>
      </c>
      <c r="K89" s="151">
        <f t="shared" si="54"/>
        <v>-5770.4583299984542</v>
      </c>
      <c r="L89" s="151">
        <f t="shared" si="54"/>
        <v>-5310.0162327902099</v>
      </c>
      <c r="M89" s="151">
        <f t="shared" si="54"/>
        <v>-4601.0087701167395</v>
      </c>
      <c r="N89" s="151">
        <f t="shared" si="54"/>
        <v>-3615.3392399445952</v>
      </c>
      <c r="O89" s="151">
        <f t="shared" si="54"/>
        <v>-2322.0535905915294</v>
      </c>
      <c r="P89" s="151">
        <f t="shared" ref="P89:AY89" si="55">O92</f>
        <v>-687.5952256457399</v>
      </c>
      <c r="Q89" s="151">
        <f t="shared" si="55"/>
        <v>0</v>
      </c>
      <c r="R89" s="151">
        <f t="shared" si="55"/>
        <v>0</v>
      </c>
      <c r="S89" s="151">
        <f t="shared" si="55"/>
        <v>0</v>
      </c>
      <c r="T89" s="151">
        <f t="shared" si="55"/>
        <v>0</v>
      </c>
      <c r="U89" s="151">
        <f t="shared" si="55"/>
        <v>0</v>
      </c>
      <c r="V89" s="151">
        <f t="shared" si="55"/>
        <v>0</v>
      </c>
      <c r="W89" s="151">
        <f t="shared" si="55"/>
        <v>0</v>
      </c>
      <c r="X89" s="151">
        <f t="shared" si="55"/>
        <v>0</v>
      </c>
      <c r="Y89" s="151">
        <f t="shared" si="55"/>
        <v>0</v>
      </c>
      <c r="Z89" s="151">
        <f t="shared" si="55"/>
        <v>0</v>
      </c>
      <c r="AA89" s="151">
        <f t="shared" si="55"/>
        <v>0</v>
      </c>
      <c r="AB89" s="151">
        <f t="shared" si="55"/>
        <v>0</v>
      </c>
      <c r="AC89" s="151">
        <f t="shared" si="55"/>
        <v>0</v>
      </c>
      <c r="AD89" s="151">
        <f t="shared" si="55"/>
        <v>0</v>
      </c>
      <c r="AE89" s="151">
        <f t="shared" si="55"/>
        <v>0</v>
      </c>
      <c r="AF89" s="151">
        <f t="shared" si="55"/>
        <v>0</v>
      </c>
      <c r="AG89" s="151">
        <f t="shared" si="55"/>
        <v>0</v>
      </c>
      <c r="AH89" s="151">
        <f t="shared" si="55"/>
        <v>0</v>
      </c>
      <c r="AI89" s="151">
        <f t="shared" si="55"/>
        <v>0</v>
      </c>
      <c r="AJ89" s="151">
        <f t="shared" si="55"/>
        <v>0</v>
      </c>
      <c r="AK89" s="151">
        <f t="shared" si="55"/>
        <v>0</v>
      </c>
      <c r="AL89" s="151">
        <f t="shared" si="55"/>
        <v>0</v>
      </c>
      <c r="AM89" s="151">
        <f t="shared" si="55"/>
        <v>0</v>
      </c>
      <c r="AN89" s="151">
        <f t="shared" si="55"/>
        <v>0</v>
      </c>
      <c r="AO89" s="151">
        <f t="shared" si="55"/>
        <v>0</v>
      </c>
      <c r="AP89" s="151">
        <f t="shared" si="55"/>
        <v>0</v>
      </c>
      <c r="AQ89" s="151">
        <f t="shared" si="55"/>
        <v>0</v>
      </c>
      <c r="AR89" s="151">
        <f t="shared" si="55"/>
        <v>0</v>
      </c>
      <c r="AS89" s="151">
        <f t="shared" si="55"/>
        <v>0</v>
      </c>
      <c r="AT89" s="151">
        <f t="shared" si="55"/>
        <v>0</v>
      </c>
      <c r="AU89" s="151">
        <f t="shared" si="55"/>
        <v>0</v>
      </c>
      <c r="AV89" s="151">
        <f t="shared" si="55"/>
        <v>0</v>
      </c>
      <c r="AW89" s="151">
        <f t="shared" si="55"/>
        <v>0</v>
      </c>
      <c r="AX89" s="151">
        <f t="shared" si="55"/>
        <v>0</v>
      </c>
      <c r="AY89" s="151">
        <f t="shared" si="55"/>
        <v>0</v>
      </c>
    </row>
    <row r="90" spans="1:51" s="150" customFormat="1" x14ac:dyDescent="0.25">
      <c r="A90" s="163" t="s">
        <v>111</v>
      </c>
      <c r="B90" s="153" t="str">
        <f>B70</f>
        <v>$ Nominal</v>
      </c>
      <c r="C90" s="152"/>
      <c r="D90" s="151">
        <f t="shared" ref="D90:O90" si="56">D89+D87</f>
        <v>-1102.7511455152451</v>
      </c>
      <c r="E90" s="151">
        <f t="shared" si="56"/>
        <v>-1869.1843961654006</v>
      </c>
      <c r="F90" s="151">
        <f t="shared" si="56"/>
        <v>-2492.2192465054954</v>
      </c>
      <c r="G90" s="151">
        <f t="shared" si="56"/>
        <v>-3069.5229451000155</v>
      </c>
      <c r="H90" s="151">
        <f t="shared" si="56"/>
        <v>-4457.3932347924856</v>
      </c>
      <c r="I90" s="151">
        <f t="shared" si="56"/>
        <v>-5809.8136109025818</v>
      </c>
      <c r="J90" s="151">
        <f t="shared" si="56"/>
        <v>-5770.4583299984542</v>
      </c>
      <c r="K90" s="151">
        <f t="shared" si="56"/>
        <v>-5310.0162327902099</v>
      </c>
      <c r="L90" s="151">
        <f t="shared" si="56"/>
        <v>-4601.0087701167395</v>
      </c>
      <c r="M90" s="151">
        <f t="shared" si="56"/>
        <v>-3615.3392399445952</v>
      </c>
      <c r="N90" s="151">
        <f t="shared" si="56"/>
        <v>-2322.0535905915294</v>
      </c>
      <c r="O90" s="151">
        <f t="shared" si="56"/>
        <v>-687.5952256457399</v>
      </c>
      <c r="P90" s="151">
        <f t="shared" ref="P90:AY90" si="57">P89+P87</f>
        <v>1323.3132704234806</v>
      </c>
      <c r="Q90" s="151">
        <f t="shared" si="57"/>
        <v>2426.0148137653796</v>
      </c>
      <c r="R90" s="151">
        <f t="shared" si="57"/>
        <v>3432.0579031151328</v>
      </c>
      <c r="S90" s="151">
        <f t="shared" si="57"/>
        <v>3459.3071528878359</v>
      </c>
      <c r="T90" s="151">
        <f t="shared" si="57"/>
        <v>3482.2129934686759</v>
      </c>
      <c r="U90" s="151">
        <f t="shared" si="57"/>
        <v>3492.5226461519746</v>
      </c>
      <c r="V90" s="151">
        <f t="shared" si="57"/>
        <v>3495.3406304911723</v>
      </c>
      <c r="W90" s="151">
        <f t="shared" si="57"/>
        <v>3498.2209710669758</v>
      </c>
      <c r="X90" s="151">
        <f t="shared" si="57"/>
        <v>3501.1626646621189</v>
      </c>
      <c r="Y90" s="151">
        <f t="shared" si="57"/>
        <v>3504.1647276460162</v>
      </c>
      <c r="Z90" s="151">
        <f t="shared" si="57"/>
        <v>3507.2261955992085</v>
      </c>
      <c r="AA90" s="151">
        <f t="shared" si="57"/>
        <v>3510.3461229450286</v>
      </c>
      <c r="AB90" s="151">
        <f t="shared" si="57"/>
        <v>3513.5235825883237</v>
      </c>
      <c r="AC90" s="151">
        <f t="shared" si="57"/>
        <v>3516.757665561136</v>
      </c>
      <c r="AD90" s="151">
        <f t="shared" si="57"/>
        <v>3520.0474806751763</v>
      </c>
      <c r="AE90" s="151">
        <f t="shared" si="57"/>
        <v>3523.3921541809705</v>
      </c>
      <c r="AF90" s="151">
        <f t="shared" si="57"/>
        <v>3526.7908294335562</v>
      </c>
      <c r="AG90" s="151">
        <f t="shared" si="57"/>
        <v>3530.2426665645989</v>
      </c>
      <c r="AH90" s="151">
        <f t="shared" si="57"/>
        <v>3533.7468421608</v>
      </c>
      <c r="AI90" s="151">
        <f t="shared" si="57"/>
        <v>3537.3025489484926</v>
      </c>
      <c r="AJ90" s="151">
        <f t="shared" si="57"/>
        <v>3540.9089954842793</v>
      </c>
      <c r="AK90" s="151">
        <f t="shared" si="57"/>
        <v>3544.5654058516166</v>
      </c>
      <c r="AL90" s="151">
        <f t="shared" si="57"/>
        <v>3548.2710193632374</v>
      </c>
      <c r="AM90" s="151">
        <f t="shared" si="57"/>
        <v>3552.0250902692683</v>
      </c>
      <c r="AN90" s="151">
        <f t="shared" si="57"/>
        <v>3555.8268874709706</v>
      </c>
      <c r="AO90" s="151">
        <f t="shared" si="57"/>
        <v>3559.6756942399629</v>
      </c>
      <c r="AP90" s="151">
        <f t="shared" si="57"/>
        <v>3563.5708079428559</v>
      </c>
      <c r="AQ90" s="151">
        <f t="shared" si="57"/>
        <v>3567.5115397711493</v>
      </c>
      <c r="AR90" s="151">
        <f t="shared" si="57"/>
        <v>3571.4972144763424</v>
      </c>
      <c r="AS90" s="151">
        <f t="shared" si="57"/>
        <v>3575.5271701101115</v>
      </c>
      <c r="AT90" s="151">
        <f t="shared" si="57"/>
        <v>3579.6007577694927</v>
      </c>
      <c r="AU90" s="151">
        <f t="shared" si="57"/>
        <v>3583.7173413469477</v>
      </c>
      <c r="AV90" s="151">
        <f t="shared" si="57"/>
        <v>3587.8762972852278</v>
      </c>
      <c r="AW90" s="151">
        <f t="shared" si="57"/>
        <v>3592.07701433696</v>
      </c>
      <c r="AX90" s="151">
        <f t="shared" si="57"/>
        <v>3520.6011596009357</v>
      </c>
      <c r="AY90" s="151">
        <f t="shared" si="57"/>
        <v>9304.7405255675058</v>
      </c>
    </row>
    <row r="91" spans="1:51" s="164" customFormat="1" x14ac:dyDescent="0.25">
      <c r="A91" s="154" t="s">
        <v>110</v>
      </c>
      <c r="B91" s="153" t="str">
        <f>B71</f>
        <v>$  Nominal</v>
      </c>
      <c r="C91" s="152">
        <f>SUM(D91:AY91)</f>
        <v>129581.68678322292</v>
      </c>
      <c r="D91" s="165">
        <f t="shared" ref="D91:O91" si="58">IF(D90&lt;0,0,D90)</f>
        <v>0</v>
      </c>
      <c r="E91" s="165">
        <f t="shared" si="58"/>
        <v>0</v>
      </c>
      <c r="F91" s="165">
        <f t="shared" si="58"/>
        <v>0</v>
      </c>
      <c r="G91" s="165">
        <f t="shared" si="58"/>
        <v>0</v>
      </c>
      <c r="H91" s="165">
        <f t="shared" si="58"/>
        <v>0</v>
      </c>
      <c r="I91" s="165">
        <f t="shared" si="58"/>
        <v>0</v>
      </c>
      <c r="J91" s="165">
        <f t="shared" si="58"/>
        <v>0</v>
      </c>
      <c r="K91" s="165">
        <f t="shared" si="58"/>
        <v>0</v>
      </c>
      <c r="L91" s="165">
        <f t="shared" si="58"/>
        <v>0</v>
      </c>
      <c r="M91" s="165">
        <f t="shared" si="58"/>
        <v>0</v>
      </c>
      <c r="N91" s="165">
        <f t="shared" si="58"/>
        <v>0</v>
      </c>
      <c r="O91" s="165">
        <f t="shared" si="58"/>
        <v>0</v>
      </c>
      <c r="P91" s="165">
        <f t="shared" ref="P91:AY91" si="59">IF(P90&lt;0,0,P90)</f>
        <v>1323.3132704234806</v>
      </c>
      <c r="Q91" s="165">
        <f t="shared" si="59"/>
        <v>2426.0148137653796</v>
      </c>
      <c r="R91" s="165">
        <f t="shared" si="59"/>
        <v>3432.0579031151328</v>
      </c>
      <c r="S91" s="165">
        <f t="shared" si="59"/>
        <v>3459.3071528878359</v>
      </c>
      <c r="T91" s="165">
        <f t="shared" si="59"/>
        <v>3482.2129934686759</v>
      </c>
      <c r="U91" s="165">
        <f t="shared" si="59"/>
        <v>3492.5226461519746</v>
      </c>
      <c r="V91" s="165">
        <f t="shared" si="59"/>
        <v>3495.3406304911723</v>
      </c>
      <c r="W91" s="165">
        <f t="shared" si="59"/>
        <v>3498.2209710669758</v>
      </c>
      <c r="X91" s="165">
        <f t="shared" si="59"/>
        <v>3501.1626646621189</v>
      </c>
      <c r="Y91" s="165">
        <f t="shared" si="59"/>
        <v>3504.1647276460162</v>
      </c>
      <c r="Z91" s="165">
        <f t="shared" si="59"/>
        <v>3507.2261955992085</v>
      </c>
      <c r="AA91" s="165">
        <f t="shared" si="59"/>
        <v>3510.3461229450286</v>
      </c>
      <c r="AB91" s="165">
        <f t="shared" si="59"/>
        <v>3513.5235825883237</v>
      </c>
      <c r="AC91" s="165">
        <f t="shared" si="59"/>
        <v>3516.757665561136</v>
      </c>
      <c r="AD91" s="165">
        <f t="shared" si="59"/>
        <v>3520.0474806751763</v>
      </c>
      <c r="AE91" s="165">
        <f t="shared" si="59"/>
        <v>3523.3921541809705</v>
      </c>
      <c r="AF91" s="165">
        <f t="shared" si="59"/>
        <v>3526.7908294335562</v>
      </c>
      <c r="AG91" s="165">
        <f t="shared" si="59"/>
        <v>3530.2426665645989</v>
      </c>
      <c r="AH91" s="165">
        <f t="shared" si="59"/>
        <v>3533.7468421608</v>
      </c>
      <c r="AI91" s="165">
        <f t="shared" si="59"/>
        <v>3537.3025489484926</v>
      </c>
      <c r="AJ91" s="165">
        <f t="shared" si="59"/>
        <v>3540.9089954842793</v>
      </c>
      <c r="AK91" s="165">
        <f t="shared" si="59"/>
        <v>3544.5654058516166</v>
      </c>
      <c r="AL91" s="165">
        <f t="shared" si="59"/>
        <v>3548.2710193632374</v>
      </c>
      <c r="AM91" s="165">
        <f t="shared" si="59"/>
        <v>3552.0250902692683</v>
      </c>
      <c r="AN91" s="165">
        <f t="shared" si="59"/>
        <v>3555.8268874709706</v>
      </c>
      <c r="AO91" s="165">
        <f t="shared" si="59"/>
        <v>3559.6756942399629</v>
      </c>
      <c r="AP91" s="165">
        <f t="shared" si="59"/>
        <v>3563.5708079428559</v>
      </c>
      <c r="AQ91" s="165">
        <f t="shared" si="59"/>
        <v>3567.5115397711493</v>
      </c>
      <c r="AR91" s="165">
        <f t="shared" si="59"/>
        <v>3571.4972144763424</v>
      </c>
      <c r="AS91" s="165">
        <f t="shared" si="59"/>
        <v>3575.5271701101115</v>
      </c>
      <c r="AT91" s="165">
        <f t="shared" si="59"/>
        <v>3579.6007577694927</v>
      </c>
      <c r="AU91" s="165">
        <f t="shared" si="59"/>
        <v>3583.7173413469477</v>
      </c>
      <c r="AV91" s="165">
        <f t="shared" si="59"/>
        <v>3587.8762972852278</v>
      </c>
      <c r="AW91" s="165">
        <f t="shared" si="59"/>
        <v>3592.07701433696</v>
      </c>
      <c r="AX91" s="165">
        <f t="shared" si="59"/>
        <v>3520.6011596009357</v>
      </c>
      <c r="AY91" s="165">
        <f t="shared" si="59"/>
        <v>9304.7405255675058</v>
      </c>
    </row>
    <row r="92" spans="1:51" s="150" customFormat="1" x14ac:dyDescent="0.25">
      <c r="A92" s="163" t="s">
        <v>109</v>
      </c>
      <c r="B92" s="153" t="str">
        <f>B72</f>
        <v>$ Nominal</v>
      </c>
      <c r="C92" s="152"/>
      <c r="D92" s="151">
        <f t="shared" ref="D92:O92" si="60">IF(D90&lt;0,D90,0)</f>
        <v>-1102.7511455152451</v>
      </c>
      <c r="E92" s="151">
        <f t="shared" si="60"/>
        <v>-1869.1843961654006</v>
      </c>
      <c r="F92" s="151">
        <f t="shared" si="60"/>
        <v>-2492.2192465054954</v>
      </c>
      <c r="G92" s="151">
        <f t="shared" si="60"/>
        <v>-3069.5229451000155</v>
      </c>
      <c r="H92" s="151">
        <f t="shared" si="60"/>
        <v>-4457.3932347924856</v>
      </c>
      <c r="I92" s="151">
        <f t="shared" si="60"/>
        <v>-5809.8136109025818</v>
      </c>
      <c r="J92" s="151">
        <f t="shared" si="60"/>
        <v>-5770.4583299984542</v>
      </c>
      <c r="K92" s="151">
        <f t="shared" si="60"/>
        <v>-5310.0162327902099</v>
      </c>
      <c r="L92" s="151">
        <f t="shared" si="60"/>
        <v>-4601.0087701167395</v>
      </c>
      <c r="M92" s="151">
        <f t="shared" si="60"/>
        <v>-3615.3392399445952</v>
      </c>
      <c r="N92" s="151">
        <f t="shared" si="60"/>
        <v>-2322.0535905915294</v>
      </c>
      <c r="O92" s="151">
        <f t="shared" si="60"/>
        <v>-687.5952256457399</v>
      </c>
      <c r="P92" s="151">
        <f t="shared" ref="P92:AY92" si="61">IF(P90&lt;0,P90,0)</f>
        <v>0</v>
      </c>
      <c r="Q92" s="151">
        <f t="shared" si="61"/>
        <v>0</v>
      </c>
      <c r="R92" s="151">
        <f t="shared" si="61"/>
        <v>0</v>
      </c>
      <c r="S92" s="151">
        <f t="shared" si="61"/>
        <v>0</v>
      </c>
      <c r="T92" s="151">
        <f t="shared" si="61"/>
        <v>0</v>
      </c>
      <c r="U92" s="151">
        <f t="shared" si="61"/>
        <v>0</v>
      </c>
      <c r="V92" s="151">
        <f t="shared" si="61"/>
        <v>0</v>
      </c>
      <c r="W92" s="151">
        <f t="shared" si="61"/>
        <v>0</v>
      </c>
      <c r="X92" s="151">
        <f t="shared" si="61"/>
        <v>0</v>
      </c>
      <c r="Y92" s="151">
        <f t="shared" si="61"/>
        <v>0</v>
      </c>
      <c r="Z92" s="151">
        <f t="shared" si="61"/>
        <v>0</v>
      </c>
      <c r="AA92" s="151">
        <f t="shared" si="61"/>
        <v>0</v>
      </c>
      <c r="AB92" s="151">
        <f t="shared" si="61"/>
        <v>0</v>
      </c>
      <c r="AC92" s="151">
        <f t="shared" si="61"/>
        <v>0</v>
      </c>
      <c r="AD92" s="151">
        <f t="shared" si="61"/>
        <v>0</v>
      </c>
      <c r="AE92" s="151">
        <f t="shared" si="61"/>
        <v>0</v>
      </c>
      <c r="AF92" s="151">
        <f t="shared" si="61"/>
        <v>0</v>
      </c>
      <c r="AG92" s="151">
        <f t="shared" si="61"/>
        <v>0</v>
      </c>
      <c r="AH92" s="151">
        <f t="shared" si="61"/>
        <v>0</v>
      </c>
      <c r="AI92" s="151">
        <f t="shared" si="61"/>
        <v>0</v>
      </c>
      <c r="AJ92" s="151">
        <f t="shared" si="61"/>
        <v>0</v>
      </c>
      <c r="AK92" s="151">
        <f t="shared" si="61"/>
        <v>0</v>
      </c>
      <c r="AL92" s="151">
        <f t="shared" si="61"/>
        <v>0</v>
      </c>
      <c r="AM92" s="151">
        <f t="shared" si="61"/>
        <v>0</v>
      </c>
      <c r="AN92" s="151">
        <f t="shared" si="61"/>
        <v>0</v>
      </c>
      <c r="AO92" s="151">
        <f t="shared" si="61"/>
        <v>0</v>
      </c>
      <c r="AP92" s="151">
        <f t="shared" si="61"/>
        <v>0</v>
      </c>
      <c r="AQ92" s="151">
        <f t="shared" si="61"/>
        <v>0</v>
      </c>
      <c r="AR92" s="151">
        <f t="shared" si="61"/>
        <v>0</v>
      </c>
      <c r="AS92" s="151">
        <f t="shared" si="61"/>
        <v>0</v>
      </c>
      <c r="AT92" s="151">
        <f t="shared" si="61"/>
        <v>0</v>
      </c>
      <c r="AU92" s="151">
        <f t="shared" si="61"/>
        <v>0</v>
      </c>
      <c r="AV92" s="151">
        <f t="shared" si="61"/>
        <v>0</v>
      </c>
      <c r="AW92" s="151">
        <f t="shared" si="61"/>
        <v>0</v>
      </c>
      <c r="AX92" s="151">
        <f t="shared" si="61"/>
        <v>0</v>
      </c>
      <c r="AY92" s="151">
        <f t="shared" si="61"/>
        <v>0</v>
      </c>
    </row>
    <row r="93" spans="1:51" s="145" customFormat="1" x14ac:dyDescent="0.25">
      <c r="A93" s="149"/>
      <c r="B93" s="162"/>
      <c r="C93" s="14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row>
    <row r="94" spans="1:51" x14ac:dyDescent="0.25">
      <c r="A94" s="231" t="str">
        <f>'business model (in Real terms)'!A198</f>
        <v>Company Income Tax  Rate</v>
      </c>
      <c r="B94" s="232" t="str">
        <f>'business model (in Real terms)'!B198</f>
        <v>% of assessable income</v>
      </c>
      <c r="C94" s="233">
        <f>'business model (in Real terms)'!C198</f>
        <v>0</v>
      </c>
      <c r="D94" s="233">
        <f>'business model (in Real terms)'!D198</f>
        <v>0.25</v>
      </c>
      <c r="E94" s="233">
        <f>'business model (in Real terms)'!E198</f>
        <v>0.25</v>
      </c>
      <c r="F94" s="233">
        <f>'business model (in Real terms)'!F198</f>
        <v>0.25</v>
      </c>
      <c r="G94" s="233">
        <f>'business model (in Real terms)'!G198</f>
        <v>0.25</v>
      </c>
      <c r="H94" s="233">
        <f>'business model (in Real terms)'!H198</f>
        <v>0.25</v>
      </c>
      <c r="I94" s="233">
        <f>'business model (in Real terms)'!I198</f>
        <v>0.25</v>
      </c>
      <c r="J94" s="233">
        <f>'business model (in Real terms)'!J198</f>
        <v>0.25</v>
      </c>
      <c r="K94" s="233">
        <f>'business model (in Real terms)'!K198</f>
        <v>0.25</v>
      </c>
      <c r="L94" s="233">
        <f>'business model (in Real terms)'!L198</f>
        <v>0.25</v>
      </c>
      <c r="M94" s="233">
        <f>'business model (in Real terms)'!M198</f>
        <v>0.25</v>
      </c>
      <c r="N94" s="233">
        <f>'business model (in Real terms)'!N198</f>
        <v>0.25</v>
      </c>
      <c r="O94" s="233">
        <f>'business model (in Real terms)'!O198</f>
        <v>0.25</v>
      </c>
      <c r="P94" s="233">
        <f>'business model (in Real terms)'!P198</f>
        <v>0.25</v>
      </c>
      <c r="Q94" s="233">
        <f>'business model (in Real terms)'!Q198</f>
        <v>0.25</v>
      </c>
      <c r="R94" s="233">
        <f>'business model (in Real terms)'!R198</f>
        <v>0.25</v>
      </c>
      <c r="S94" s="233">
        <f>'business model (in Real terms)'!S198</f>
        <v>0.25</v>
      </c>
      <c r="T94" s="233">
        <f>'business model (in Real terms)'!T198</f>
        <v>0.25</v>
      </c>
      <c r="U94" s="233">
        <f>'business model (in Real terms)'!U198</f>
        <v>0.25</v>
      </c>
      <c r="V94" s="233">
        <f>'business model (in Real terms)'!V198</f>
        <v>0.25</v>
      </c>
      <c r="W94" s="233">
        <f>'business model (in Real terms)'!W198</f>
        <v>0.25</v>
      </c>
      <c r="X94" s="233">
        <f>'business model (in Real terms)'!X198</f>
        <v>0.25</v>
      </c>
      <c r="Y94" s="233">
        <f>'business model (in Real terms)'!Y198</f>
        <v>0.25</v>
      </c>
      <c r="Z94" s="233">
        <f>'business model (in Real terms)'!Z198</f>
        <v>0.25</v>
      </c>
      <c r="AA94" s="233">
        <f>'business model (in Real terms)'!AA198</f>
        <v>0.25</v>
      </c>
      <c r="AB94" s="233">
        <f>'business model (in Real terms)'!AB198</f>
        <v>0.25</v>
      </c>
      <c r="AC94" s="233">
        <f>'business model (in Real terms)'!AC198</f>
        <v>0.25</v>
      </c>
      <c r="AD94" s="233">
        <f>'business model (in Real terms)'!AD198</f>
        <v>0.25</v>
      </c>
      <c r="AE94" s="233">
        <f>'business model (in Real terms)'!AE198</f>
        <v>0.25</v>
      </c>
      <c r="AF94" s="233">
        <f>'business model (in Real terms)'!AF198</f>
        <v>0.25</v>
      </c>
      <c r="AG94" s="233">
        <f>'business model (in Real terms)'!AG198</f>
        <v>0.25</v>
      </c>
      <c r="AH94" s="233">
        <f>'business model (in Real terms)'!AH198</f>
        <v>0.25</v>
      </c>
      <c r="AI94" s="233">
        <f>'business model (in Real terms)'!AI198</f>
        <v>0.25</v>
      </c>
      <c r="AJ94" s="233">
        <f>'business model (in Real terms)'!AJ198</f>
        <v>0.25</v>
      </c>
      <c r="AK94" s="233">
        <f>'business model (in Real terms)'!AK198</f>
        <v>0.25</v>
      </c>
      <c r="AL94" s="233">
        <f>'business model (in Real terms)'!AL198</f>
        <v>0.25</v>
      </c>
      <c r="AM94" s="233">
        <f>'business model (in Real terms)'!AM198</f>
        <v>0.25</v>
      </c>
      <c r="AN94" s="233">
        <f>'business model (in Real terms)'!AN198</f>
        <v>0.25</v>
      </c>
      <c r="AO94" s="233">
        <f>'business model (in Real terms)'!AO198</f>
        <v>0.25</v>
      </c>
      <c r="AP94" s="233">
        <f>'business model (in Real terms)'!AP198</f>
        <v>0.25</v>
      </c>
      <c r="AQ94" s="233">
        <f>'business model (in Real terms)'!AQ198</f>
        <v>0.25</v>
      </c>
      <c r="AR94" s="233">
        <f>'business model (in Real terms)'!AR198</f>
        <v>0.25</v>
      </c>
      <c r="AS94" s="233">
        <f>'business model (in Real terms)'!AS198</f>
        <v>0.25</v>
      </c>
      <c r="AT94" s="233">
        <f>'business model (in Real terms)'!AT198</f>
        <v>0.25</v>
      </c>
      <c r="AU94" s="233">
        <f>'business model (in Real terms)'!AU198</f>
        <v>0.25</v>
      </c>
      <c r="AV94" s="233">
        <f>'business model (in Real terms)'!AV198</f>
        <v>0.25</v>
      </c>
      <c r="AW94" s="233">
        <f>'business model (in Real terms)'!AW198</f>
        <v>0.25</v>
      </c>
      <c r="AX94" s="233">
        <f>'business model (in Real terms)'!AX198</f>
        <v>0.25</v>
      </c>
      <c r="AY94" s="233">
        <f>'business model (in Real terms)'!AY198</f>
        <v>0.25</v>
      </c>
    </row>
    <row r="95" spans="1:51" s="157" customFormat="1" ht="21" x14ac:dyDescent="0.35">
      <c r="A95" s="160" t="s">
        <v>108</v>
      </c>
      <c r="B95" s="159" t="s">
        <v>162</v>
      </c>
      <c r="C95" s="147">
        <f>SUM(D95:AY95)</f>
        <v>32395.42169580573</v>
      </c>
      <c r="D95" s="158">
        <f t="shared" ref="D95:O95" si="62">D91*D94</f>
        <v>0</v>
      </c>
      <c r="E95" s="158">
        <f t="shared" si="62"/>
        <v>0</v>
      </c>
      <c r="F95" s="158">
        <f t="shared" si="62"/>
        <v>0</v>
      </c>
      <c r="G95" s="158">
        <f t="shared" si="62"/>
        <v>0</v>
      </c>
      <c r="H95" s="158">
        <f t="shared" si="62"/>
        <v>0</v>
      </c>
      <c r="I95" s="158">
        <f t="shared" si="62"/>
        <v>0</v>
      </c>
      <c r="J95" s="158">
        <f t="shared" si="62"/>
        <v>0</v>
      </c>
      <c r="K95" s="158">
        <f t="shared" si="62"/>
        <v>0</v>
      </c>
      <c r="L95" s="158">
        <f t="shared" si="62"/>
        <v>0</v>
      </c>
      <c r="M95" s="158">
        <f t="shared" si="62"/>
        <v>0</v>
      </c>
      <c r="N95" s="158">
        <f t="shared" si="62"/>
        <v>0</v>
      </c>
      <c r="O95" s="158">
        <f t="shared" si="62"/>
        <v>0</v>
      </c>
      <c r="P95" s="158">
        <f t="shared" ref="P95:AY95" si="63">P91*P94</f>
        <v>330.82831760587015</v>
      </c>
      <c r="Q95" s="158">
        <f t="shared" si="63"/>
        <v>606.5037034413449</v>
      </c>
      <c r="R95" s="158">
        <f t="shared" si="63"/>
        <v>858.01447577878321</v>
      </c>
      <c r="S95" s="158">
        <f t="shared" si="63"/>
        <v>864.82678822195896</v>
      </c>
      <c r="T95" s="158">
        <f t="shared" si="63"/>
        <v>870.55324836716898</v>
      </c>
      <c r="U95" s="158">
        <f t="shared" si="63"/>
        <v>873.13066153799366</v>
      </c>
      <c r="V95" s="158">
        <f t="shared" si="63"/>
        <v>873.83515762279308</v>
      </c>
      <c r="W95" s="158">
        <f t="shared" si="63"/>
        <v>874.55524276674396</v>
      </c>
      <c r="X95" s="158">
        <f t="shared" si="63"/>
        <v>875.29066616552973</v>
      </c>
      <c r="Y95" s="158">
        <f t="shared" si="63"/>
        <v>876.04118191150405</v>
      </c>
      <c r="Z95" s="158">
        <f t="shared" si="63"/>
        <v>876.80654889980212</v>
      </c>
      <c r="AA95" s="158">
        <f t="shared" si="63"/>
        <v>877.58653073625715</v>
      </c>
      <c r="AB95" s="158">
        <f t="shared" si="63"/>
        <v>878.38089564708093</v>
      </c>
      <c r="AC95" s="158">
        <f t="shared" si="63"/>
        <v>879.18941639028401</v>
      </c>
      <c r="AD95" s="158">
        <f t="shared" si="63"/>
        <v>880.01187016879408</v>
      </c>
      <c r="AE95" s="158">
        <f t="shared" si="63"/>
        <v>880.84803854524262</v>
      </c>
      <c r="AF95" s="158">
        <f t="shared" si="63"/>
        <v>881.69770735838904</v>
      </c>
      <c r="AG95" s="158">
        <f t="shared" si="63"/>
        <v>882.56066664114974</v>
      </c>
      <c r="AH95" s="158">
        <f t="shared" si="63"/>
        <v>883.43671054020001</v>
      </c>
      <c r="AI95" s="158">
        <f t="shared" si="63"/>
        <v>884.32563723712315</v>
      </c>
      <c r="AJ95" s="158">
        <f t="shared" si="63"/>
        <v>885.22724887106983</v>
      </c>
      <c r="AK95" s="158">
        <f t="shared" si="63"/>
        <v>886.14135146290414</v>
      </c>
      <c r="AL95" s="158">
        <f t="shared" si="63"/>
        <v>887.06775484080936</v>
      </c>
      <c r="AM95" s="158">
        <f t="shared" si="63"/>
        <v>888.00627256731707</v>
      </c>
      <c r="AN95" s="158">
        <f t="shared" si="63"/>
        <v>888.95672186774266</v>
      </c>
      <c r="AO95" s="158">
        <f t="shared" si="63"/>
        <v>889.91892355999073</v>
      </c>
      <c r="AP95" s="158">
        <f t="shared" si="63"/>
        <v>890.89270198571398</v>
      </c>
      <c r="AQ95" s="158">
        <f t="shared" si="63"/>
        <v>891.87788494278732</v>
      </c>
      <c r="AR95" s="158">
        <f t="shared" si="63"/>
        <v>892.87430361908559</v>
      </c>
      <c r="AS95" s="158">
        <f t="shared" si="63"/>
        <v>893.88179252752786</v>
      </c>
      <c r="AT95" s="158">
        <f t="shared" si="63"/>
        <v>894.90018944237318</v>
      </c>
      <c r="AU95" s="158">
        <f t="shared" si="63"/>
        <v>895.92933533673693</v>
      </c>
      <c r="AV95" s="158">
        <f t="shared" si="63"/>
        <v>896.96907432130695</v>
      </c>
      <c r="AW95" s="158">
        <f t="shared" si="63"/>
        <v>898.01925358424</v>
      </c>
      <c r="AX95" s="158">
        <f t="shared" si="63"/>
        <v>880.15028990023393</v>
      </c>
      <c r="AY95" s="158">
        <f t="shared" si="63"/>
        <v>2326.1851313918764</v>
      </c>
    </row>
    <row r="96" spans="1:51" s="145" customFormat="1" x14ac:dyDescent="0.25">
      <c r="A96" s="149" t="str">
        <f>A$38</f>
        <v>Inflator - $</v>
      </c>
      <c r="B96" s="148"/>
      <c r="C96" s="147"/>
      <c r="D96" s="146">
        <f t="shared" ref="D96:O96" si="64">D$38</f>
        <v>1.0008329864001619</v>
      </c>
      <c r="E96" s="146">
        <f t="shared" si="64"/>
        <v>1.0025010413774955</v>
      </c>
      <c r="F96" s="146">
        <f t="shared" si="64"/>
        <v>1.004171876446458</v>
      </c>
      <c r="G96" s="146">
        <f t="shared" si="64"/>
        <v>1.0058454962405354</v>
      </c>
      <c r="H96" s="146">
        <f t="shared" si="64"/>
        <v>1.0075219054009363</v>
      </c>
      <c r="I96" s="146">
        <f t="shared" si="64"/>
        <v>1.0092011085766046</v>
      </c>
      <c r="J96" s="146">
        <f t="shared" si="64"/>
        <v>1.0108831104242324</v>
      </c>
      <c r="K96" s="146">
        <f t="shared" si="64"/>
        <v>1.0125679156082728</v>
      </c>
      <c r="L96" s="146">
        <f t="shared" si="64"/>
        <v>1.0142555288009532</v>
      </c>
      <c r="M96" s="146">
        <f t="shared" si="64"/>
        <v>1.0159459546822882</v>
      </c>
      <c r="N96" s="146">
        <f t="shared" si="64"/>
        <v>1.0176391979400921</v>
      </c>
      <c r="O96" s="146">
        <f t="shared" si="64"/>
        <v>1.0193352632699924</v>
      </c>
      <c r="P96" s="146">
        <f t="shared" ref="P96:AY96" si="65">P$38</f>
        <v>1.0210341553754423</v>
      </c>
      <c r="Q96" s="146">
        <f t="shared" si="65"/>
        <v>1.0227358789677348</v>
      </c>
      <c r="R96" s="146">
        <f t="shared" si="65"/>
        <v>1.0244404387660144</v>
      </c>
      <c r="S96" s="146">
        <f t="shared" si="65"/>
        <v>1.0261478394972912</v>
      </c>
      <c r="T96" s="146">
        <f t="shared" si="65"/>
        <v>1.0278580858964534</v>
      </c>
      <c r="U96" s="146">
        <f t="shared" si="65"/>
        <v>1.029571182706281</v>
      </c>
      <c r="V96" s="146">
        <f t="shared" si="65"/>
        <v>1.0312871346774581</v>
      </c>
      <c r="W96" s="146">
        <f t="shared" si="65"/>
        <v>1.0330059465685872</v>
      </c>
      <c r="X96" s="146">
        <f t="shared" si="65"/>
        <v>1.0347276231462017</v>
      </c>
      <c r="Y96" s="146">
        <f t="shared" si="65"/>
        <v>1.0364521691847788</v>
      </c>
      <c r="Z96" s="146">
        <f t="shared" si="65"/>
        <v>1.0381795894667534</v>
      </c>
      <c r="AA96" s="146">
        <f t="shared" si="65"/>
        <v>1.0399098887825313</v>
      </c>
      <c r="AB96" s="146">
        <f t="shared" si="65"/>
        <v>1.0416430719305023</v>
      </c>
      <c r="AC96" s="146">
        <f t="shared" si="65"/>
        <v>1.0433791437170532</v>
      </c>
      <c r="AD96" s="146">
        <f t="shared" si="65"/>
        <v>1.0451181089565817</v>
      </c>
      <c r="AE96" s="146">
        <f t="shared" si="65"/>
        <v>1.0468599724715095</v>
      </c>
      <c r="AF96" s="146">
        <f t="shared" si="65"/>
        <v>1.0486047390922955</v>
      </c>
      <c r="AG96" s="146">
        <f t="shared" si="65"/>
        <v>1.0503524136574494</v>
      </c>
      <c r="AH96" s="146">
        <f t="shared" si="65"/>
        <v>1.052103001013545</v>
      </c>
      <c r="AI96" s="146">
        <f t="shared" si="65"/>
        <v>1.0538565060152343</v>
      </c>
      <c r="AJ96" s="146">
        <f t="shared" si="65"/>
        <v>1.0556129335252598</v>
      </c>
      <c r="AK96" s="146">
        <f t="shared" si="65"/>
        <v>1.0573722884144685</v>
      </c>
      <c r="AL96" s="146">
        <f t="shared" si="65"/>
        <v>1.059134575561826</v>
      </c>
      <c r="AM96" s="146">
        <f t="shared" si="65"/>
        <v>1.0608997998544292</v>
      </c>
      <c r="AN96" s="146">
        <f t="shared" si="65"/>
        <v>1.06266796618752</v>
      </c>
      <c r="AO96" s="146">
        <f t="shared" si="65"/>
        <v>1.0644390794644993</v>
      </c>
      <c r="AP96" s="146">
        <f t="shared" si="65"/>
        <v>1.0662131445969403</v>
      </c>
      <c r="AQ96" s="146">
        <f t="shared" si="65"/>
        <v>1.0679901665046019</v>
      </c>
      <c r="AR96" s="146">
        <f t="shared" si="65"/>
        <v>1.0697701501154429</v>
      </c>
      <c r="AS96" s="146">
        <f t="shared" si="65"/>
        <v>1.0715531003656353</v>
      </c>
      <c r="AT96" s="146">
        <f t="shared" si="65"/>
        <v>1.073339022199578</v>
      </c>
      <c r="AU96" s="146">
        <f t="shared" si="65"/>
        <v>1.0751279205699107</v>
      </c>
      <c r="AV96" s="146">
        <f t="shared" si="65"/>
        <v>1.0769198004375273</v>
      </c>
      <c r="AW96" s="146">
        <f t="shared" si="65"/>
        <v>1.0787146667715899</v>
      </c>
      <c r="AX96" s="146">
        <f t="shared" si="65"/>
        <v>1.0805125245495426</v>
      </c>
      <c r="AY96" s="146">
        <f t="shared" si="65"/>
        <v>1.0823133787571253</v>
      </c>
    </row>
    <row r="97" spans="1:51" s="41" customFormat="1" ht="21" x14ac:dyDescent="0.35">
      <c r="A97" s="70" t="str">
        <f>A79</f>
        <v>Income Tax - after project funding</v>
      </c>
      <c r="B97" s="142" t="s">
        <v>52</v>
      </c>
      <c r="C97" s="43">
        <f>SUM(D97:AY97)</f>
        <v>30754.780157200839</v>
      </c>
      <c r="D97" s="69">
        <f t="shared" ref="D97:AY97" si="66">D95/D96</f>
        <v>0</v>
      </c>
      <c r="E97" s="69">
        <f t="shared" si="66"/>
        <v>0</v>
      </c>
      <c r="F97" s="69">
        <f t="shared" si="66"/>
        <v>0</v>
      </c>
      <c r="G97" s="69">
        <f t="shared" si="66"/>
        <v>0</v>
      </c>
      <c r="H97" s="69">
        <f t="shared" si="66"/>
        <v>0</v>
      </c>
      <c r="I97" s="69">
        <f t="shared" si="66"/>
        <v>0</v>
      </c>
      <c r="J97" s="69">
        <f t="shared" si="66"/>
        <v>0</v>
      </c>
      <c r="K97" s="69">
        <f t="shared" si="66"/>
        <v>0</v>
      </c>
      <c r="L97" s="69">
        <f t="shared" si="66"/>
        <v>0</v>
      </c>
      <c r="M97" s="69">
        <f t="shared" si="66"/>
        <v>0</v>
      </c>
      <c r="N97" s="69">
        <f t="shared" si="66"/>
        <v>0</v>
      </c>
      <c r="O97" s="69">
        <f t="shared" si="66"/>
        <v>0</v>
      </c>
      <c r="P97" s="69">
        <f t="shared" si="66"/>
        <v>324.01297827712921</v>
      </c>
      <c r="Q97" s="69">
        <f t="shared" si="66"/>
        <v>593.02085309992219</v>
      </c>
      <c r="R97" s="69">
        <f t="shared" si="66"/>
        <v>837.54452021857026</v>
      </c>
      <c r="S97" s="69">
        <f t="shared" si="66"/>
        <v>842.78965947600375</v>
      </c>
      <c r="T97" s="69">
        <f t="shared" si="66"/>
        <v>846.95860285801029</v>
      </c>
      <c r="U97" s="69">
        <f t="shared" si="66"/>
        <v>848.05273904707065</v>
      </c>
      <c r="V97" s="69">
        <f t="shared" si="66"/>
        <v>847.32479271749162</v>
      </c>
      <c r="W97" s="69">
        <f t="shared" si="66"/>
        <v>846.61201193644547</v>
      </c>
      <c r="X97" s="69">
        <f t="shared" si="66"/>
        <v>845.91408075500431</v>
      </c>
      <c r="Y97" s="69">
        <f t="shared" si="66"/>
        <v>845.23068980650987</v>
      </c>
      <c r="Z97" s="69">
        <f t="shared" si="66"/>
        <v>844.56153616944221</v>
      </c>
      <c r="AA97" s="69">
        <f t="shared" si="66"/>
        <v>843.9063232331473</v>
      </c>
      <c r="AB97" s="69">
        <f t="shared" si="66"/>
        <v>843.26476056635829</v>
      </c>
      <c r="AC97" s="69">
        <f t="shared" si="66"/>
        <v>842.63656378846053</v>
      </c>
      <c r="AD97" s="69">
        <f t="shared" si="66"/>
        <v>842.02145444343569</v>
      </c>
      <c r="AE97" s="69">
        <f t="shared" si="66"/>
        <v>841.41915987643233</v>
      </c>
      <c r="AF97" s="69">
        <f t="shared" si="66"/>
        <v>840.82941311290824</v>
      </c>
      <c r="AG97" s="69">
        <f t="shared" si="66"/>
        <v>840.25195274029102</v>
      </c>
      <c r="AH97" s="69">
        <f t="shared" si="66"/>
        <v>839.68652279210301</v>
      </c>
      <c r="AI97" s="69">
        <f t="shared" si="66"/>
        <v>839.13287263450229</v>
      </c>
      <c r="AJ97" s="69">
        <f t="shared" si="66"/>
        <v>838.59075685518519</v>
      </c>
      <c r="AK97" s="69">
        <f t="shared" si="66"/>
        <v>838.05993515460341</v>
      </c>
      <c r="AL97" s="69">
        <f t="shared" si="66"/>
        <v>837.54017223945084</v>
      </c>
      <c r="AM97" s="69">
        <f t="shared" si="66"/>
        <v>837.03123771836363</v>
      </c>
      <c r="AN97" s="69">
        <f t="shared" si="66"/>
        <v>836.53290599979937</v>
      </c>
      <c r="AO97" s="69">
        <f t="shared" si="66"/>
        <v>836.04495619203817</v>
      </c>
      <c r="AP97" s="69">
        <f t="shared" si="66"/>
        <v>835.56717200527237</v>
      </c>
      <c r="AQ97" s="69">
        <f t="shared" si="66"/>
        <v>835.09934165573077</v>
      </c>
      <c r="AR97" s="69">
        <f t="shared" si="66"/>
        <v>834.6412577718047</v>
      </c>
      <c r="AS97" s="69">
        <f t="shared" si="66"/>
        <v>834.19271730212677</v>
      </c>
      <c r="AT97" s="69">
        <f t="shared" si="66"/>
        <v>833.75352142556721</v>
      </c>
      <c r="AU97" s="69">
        <f t="shared" si="66"/>
        <v>833.32347546310302</v>
      </c>
      <c r="AV97" s="69">
        <f t="shared" si="66"/>
        <v>832.90238879152321</v>
      </c>
      <c r="AW97" s="69">
        <f t="shared" si="66"/>
        <v>832.4900747589345</v>
      </c>
      <c r="AX97" s="69">
        <f t="shared" si="66"/>
        <v>814.56741120808556</v>
      </c>
      <c r="AY97" s="69">
        <f t="shared" si="66"/>
        <v>2149.2713451100008</v>
      </c>
    </row>
    <row r="98" spans="1:51" ht="48" customHeight="1" x14ac:dyDescent="0.25">
      <c r="A98" s="39" t="s">
        <v>107</v>
      </c>
      <c r="C98" s="40"/>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5">
      <c r="A99" s="144" t="s">
        <v>106</v>
      </c>
      <c r="C99" s="4"/>
    </row>
    <row r="100" spans="1:51" x14ac:dyDescent="0.25">
      <c r="A100" s="224" t="str">
        <f>'business model (in Real terms)'!A199</f>
        <v>Income Tax - paid</v>
      </c>
      <c r="B100" s="225" t="str">
        <f>'business model (in Real terms)'!B199</f>
        <v>$ Real</v>
      </c>
      <c r="C100" s="226">
        <f>'business model (in Real terms)'!C199</f>
        <v>31144.167422579994</v>
      </c>
      <c r="D100" s="226">
        <f>'business model (in Real terms)'!D199</f>
        <v>0</v>
      </c>
      <c r="E100" s="226">
        <f>'business model (in Real terms)'!E199</f>
        <v>0</v>
      </c>
      <c r="F100" s="226">
        <f>'business model (in Real terms)'!F199</f>
        <v>0</v>
      </c>
      <c r="G100" s="226">
        <f>'business model (in Real terms)'!G199</f>
        <v>0</v>
      </c>
      <c r="H100" s="226">
        <f>'business model (in Real terms)'!H199</f>
        <v>0</v>
      </c>
      <c r="I100" s="226">
        <f>'business model (in Real terms)'!I199</f>
        <v>0</v>
      </c>
      <c r="J100" s="226">
        <f>'business model (in Real terms)'!J199</f>
        <v>0</v>
      </c>
      <c r="K100" s="226">
        <f>'business model (in Real terms)'!K199</f>
        <v>0</v>
      </c>
      <c r="L100" s="226">
        <f>'business model (in Real terms)'!L199</f>
        <v>0</v>
      </c>
      <c r="M100" s="226">
        <f>'business model (in Real terms)'!M199</f>
        <v>0</v>
      </c>
      <c r="N100" s="226">
        <f>'business model (in Real terms)'!N199</f>
        <v>0</v>
      </c>
      <c r="O100" s="226">
        <f>'business model (in Real terms)'!O199</f>
        <v>160.67372511964459</v>
      </c>
      <c r="P100" s="226">
        <f>'business model (in Real terms)'!P199</f>
        <v>513.72439079296191</v>
      </c>
      <c r="Q100" s="226">
        <f>'business model (in Real terms)'!Q199</f>
        <v>610.6333313853429</v>
      </c>
      <c r="R100" s="226">
        <f>'business model (in Real terms)'!R199</f>
        <v>850.33083251225844</v>
      </c>
      <c r="S100" s="226">
        <f>'business model (in Real terms)'!S199</f>
        <v>849.55542590215464</v>
      </c>
      <c r="T100" s="226">
        <f>'business model (in Real terms)'!T199</f>
        <v>848.79617359642816</v>
      </c>
      <c r="U100" s="226">
        <f>'business model (in Real terms)'!U199</f>
        <v>848.05273904707065</v>
      </c>
      <c r="V100" s="226">
        <f>'business model (in Real terms)'!V199</f>
        <v>847.32479271749162</v>
      </c>
      <c r="W100" s="226">
        <f>'business model (in Real terms)'!W199</f>
        <v>846.61201193644547</v>
      </c>
      <c r="X100" s="226">
        <f>'business model (in Real terms)'!X199</f>
        <v>845.91408075500431</v>
      </c>
      <c r="Y100" s="226">
        <f>'business model (in Real terms)'!Y199</f>
        <v>845.23068980650987</v>
      </c>
      <c r="Z100" s="226">
        <f>'business model (in Real terms)'!Z199</f>
        <v>844.56153616944221</v>
      </c>
      <c r="AA100" s="226">
        <f>'business model (in Real terms)'!AA199</f>
        <v>843.9063232331473</v>
      </c>
      <c r="AB100" s="226">
        <f>'business model (in Real terms)'!AB199</f>
        <v>843.26476056635829</v>
      </c>
      <c r="AC100" s="226">
        <f>'business model (in Real terms)'!AC199</f>
        <v>842.63656378846053</v>
      </c>
      <c r="AD100" s="226">
        <f>'business model (in Real terms)'!AD199</f>
        <v>842.02145444343569</v>
      </c>
      <c r="AE100" s="226">
        <f>'business model (in Real terms)'!AE199</f>
        <v>841.41915987643233</v>
      </c>
      <c r="AF100" s="226">
        <f>'business model (in Real terms)'!AF199</f>
        <v>840.82941311290824</v>
      </c>
      <c r="AG100" s="226">
        <f>'business model (in Real terms)'!AG199</f>
        <v>840.25195274029102</v>
      </c>
      <c r="AH100" s="226">
        <f>'business model (in Real terms)'!AH199</f>
        <v>839.68652279210301</v>
      </c>
      <c r="AI100" s="226">
        <f>'business model (in Real terms)'!AI199</f>
        <v>839.13287263450229</v>
      </c>
      <c r="AJ100" s="226">
        <f>'business model (in Real terms)'!AJ199</f>
        <v>838.59075685518519</v>
      </c>
      <c r="AK100" s="226">
        <f>'business model (in Real terms)'!AK199</f>
        <v>838.05993515460341</v>
      </c>
      <c r="AL100" s="226">
        <f>'business model (in Real terms)'!AL199</f>
        <v>837.54017223945084</v>
      </c>
      <c r="AM100" s="226">
        <f>'business model (in Real terms)'!AM199</f>
        <v>837.03123771836363</v>
      </c>
      <c r="AN100" s="226">
        <f>'business model (in Real terms)'!AN199</f>
        <v>836.53290599979937</v>
      </c>
      <c r="AO100" s="226">
        <f>'business model (in Real terms)'!AO199</f>
        <v>836.04495619203817</v>
      </c>
      <c r="AP100" s="226">
        <f>'business model (in Real terms)'!AP199</f>
        <v>835.56717200527237</v>
      </c>
      <c r="AQ100" s="226">
        <f>'business model (in Real terms)'!AQ199</f>
        <v>835.09934165573077</v>
      </c>
      <c r="AR100" s="226">
        <f>'business model (in Real terms)'!AR199</f>
        <v>834.6412577718047</v>
      </c>
      <c r="AS100" s="226">
        <f>'business model (in Real terms)'!AS199</f>
        <v>834.19271730212677</v>
      </c>
      <c r="AT100" s="226">
        <f>'business model (in Real terms)'!AT199</f>
        <v>833.75352142556721</v>
      </c>
      <c r="AU100" s="226">
        <f>'business model (in Real terms)'!AU199</f>
        <v>833.32347546310302</v>
      </c>
      <c r="AV100" s="226">
        <f>'business model (in Real terms)'!AV199</f>
        <v>832.90238879152321</v>
      </c>
      <c r="AW100" s="226">
        <f>'business model (in Real terms)'!AW199</f>
        <v>832.4900747589345</v>
      </c>
      <c r="AX100" s="226">
        <f>'business model (in Real terms)'!AX199</f>
        <v>814.56741120808556</v>
      </c>
      <c r="AY100" s="226">
        <f>'business model (in Real terms)'!AY199</f>
        <v>2149.2713451100008</v>
      </c>
    </row>
    <row r="101" spans="1:51" s="42" customFormat="1" x14ac:dyDescent="0.25">
      <c r="A101" s="143" t="s">
        <v>105</v>
      </c>
      <c r="B101" s="142" t="str">
        <f>B97</f>
        <v>$ Real</v>
      </c>
      <c r="C101" s="43">
        <f>SUM(D101:AY101)</f>
        <v>-389.38726537915494</v>
      </c>
      <c r="D101" s="64">
        <f t="shared" ref="D101:O101" si="67">D97-D100</f>
        <v>0</v>
      </c>
      <c r="E101" s="64">
        <f t="shared" si="67"/>
        <v>0</v>
      </c>
      <c r="F101" s="64">
        <f t="shared" si="67"/>
        <v>0</v>
      </c>
      <c r="G101" s="64">
        <f t="shared" si="67"/>
        <v>0</v>
      </c>
      <c r="H101" s="64">
        <f t="shared" si="67"/>
        <v>0</v>
      </c>
      <c r="I101" s="64">
        <f t="shared" si="67"/>
        <v>0</v>
      </c>
      <c r="J101" s="64">
        <f t="shared" si="67"/>
        <v>0</v>
      </c>
      <c r="K101" s="64">
        <f t="shared" si="67"/>
        <v>0</v>
      </c>
      <c r="L101" s="64">
        <f t="shared" si="67"/>
        <v>0</v>
      </c>
      <c r="M101" s="64">
        <f t="shared" si="67"/>
        <v>0</v>
      </c>
      <c r="N101" s="64">
        <f t="shared" si="67"/>
        <v>0</v>
      </c>
      <c r="O101" s="64">
        <f t="shared" si="67"/>
        <v>-160.67372511964459</v>
      </c>
      <c r="P101" s="64">
        <f t="shared" ref="P101:AY101" si="68">P97-P100</f>
        <v>-189.71141251583271</v>
      </c>
      <c r="Q101" s="64">
        <f t="shared" si="68"/>
        <v>-17.612478285420707</v>
      </c>
      <c r="R101" s="64">
        <f t="shared" si="68"/>
        <v>-12.786312293688184</v>
      </c>
      <c r="S101" s="64">
        <f t="shared" si="68"/>
        <v>-6.7657664261508899</v>
      </c>
      <c r="T101" s="64">
        <f t="shared" si="68"/>
        <v>-1.8375707384178668</v>
      </c>
      <c r="U101" s="64">
        <f t="shared" si="68"/>
        <v>0</v>
      </c>
      <c r="V101" s="64">
        <f t="shared" si="68"/>
        <v>0</v>
      </c>
      <c r="W101" s="64">
        <f t="shared" si="68"/>
        <v>0</v>
      </c>
      <c r="X101" s="64">
        <f t="shared" si="68"/>
        <v>0</v>
      </c>
      <c r="Y101" s="64">
        <f t="shared" si="68"/>
        <v>0</v>
      </c>
      <c r="Z101" s="64">
        <f t="shared" si="68"/>
        <v>0</v>
      </c>
      <c r="AA101" s="64">
        <f t="shared" si="68"/>
        <v>0</v>
      </c>
      <c r="AB101" s="64">
        <f t="shared" si="68"/>
        <v>0</v>
      </c>
      <c r="AC101" s="64">
        <f t="shared" si="68"/>
        <v>0</v>
      </c>
      <c r="AD101" s="64">
        <f t="shared" si="68"/>
        <v>0</v>
      </c>
      <c r="AE101" s="64">
        <f t="shared" si="68"/>
        <v>0</v>
      </c>
      <c r="AF101" s="64">
        <f t="shared" si="68"/>
        <v>0</v>
      </c>
      <c r="AG101" s="64">
        <f t="shared" si="68"/>
        <v>0</v>
      </c>
      <c r="AH101" s="64">
        <f t="shared" si="68"/>
        <v>0</v>
      </c>
      <c r="AI101" s="64">
        <f t="shared" si="68"/>
        <v>0</v>
      </c>
      <c r="AJ101" s="64">
        <f t="shared" si="68"/>
        <v>0</v>
      </c>
      <c r="AK101" s="64">
        <f t="shared" si="68"/>
        <v>0</v>
      </c>
      <c r="AL101" s="64">
        <f t="shared" si="68"/>
        <v>0</v>
      </c>
      <c r="AM101" s="64">
        <f t="shared" si="68"/>
        <v>0</v>
      </c>
      <c r="AN101" s="64">
        <f t="shared" si="68"/>
        <v>0</v>
      </c>
      <c r="AO101" s="64">
        <f t="shared" si="68"/>
        <v>0</v>
      </c>
      <c r="AP101" s="64">
        <f t="shared" si="68"/>
        <v>0</v>
      </c>
      <c r="AQ101" s="64">
        <f t="shared" si="68"/>
        <v>0</v>
      </c>
      <c r="AR101" s="64">
        <f t="shared" si="68"/>
        <v>0</v>
      </c>
      <c r="AS101" s="64">
        <f t="shared" si="68"/>
        <v>0</v>
      </c>
      <c r="AT101" s="64">
        <f t="shared" si="68"/>
        <v>0</v>
      </c>
      <c r="AU101" s="64">
        <f t="shared" si="68"/>
        <v>0</v>
      </c>
      <c r="AV101" s="64">
        <f t="shared" si="68"/>
        <v>0</v>
      </c>
      <c r="AW101" s="64">
        <f t="shared" si="68"/>
        <v>0</v>
      </c>
      <c r="AX101" s="64">
        <f t="shared" si="68"/>
        <v>0</v>
      </c>
      <c r="AY101" s="64">
        <f t="shared" si="68"/>
        <v>0</v>
      </c>
    </row>
  </sheetData>
  <pageMargins left="0.70866141732283472" right="0.70866141732283472" top="0.74803149606299213" bottom="0.74803149606299213" header="0.31496062992125984" footer="0.31496062992125984"/>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 &amp; Audits</vt:lpstr>
      <vt:lpstr>business model (in Real terms)</vt:lpstr>
      <vt:lpstr>Project funding (in Nominal)</vt:lpstr>
      <vt:lpstr>'business model (in Real terms)'!Print_Area</vt:lpstr>
      <vt:lpstr>'Project funding (in Nominal)'!Print_Area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mpcard</dc:creator>
  <cp:lastModifiedBy>Peter Card</cp:lastModifiedBy>
  <cp:lastPrinted>2011-08-03T11:26:27Z</cp:lastPrinted>
  <dcterms:created xsi:type="dcterms:W3CDTF">2009-07-21T00:07:29Z</dcterms:created>
  <dcterms:modified xsi:type="dcterms:W3CDTF">2018-08-30T01:35:05Z</dcterms:modified>
</cp:coreProperties>
</file>