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ink/ink6.xml" ContentType="application/inkml+xml"/>
  <Override PartName="/xl/ink/ink7.xml" ContentType="application/inkml+xml"/>
  <Override PartName="/xl/drawings/drawing3.xml" ContentType="application/vnd.openxmlformats-officedocument.drawing+xml"/>
  <Override PartName="/xl/charts/chart5.xml" ContentType="application/vnd.openxmlformats-officedocument.drawingml.chart+xml"/>
  <Override PartName="/xl/ink/ink8.xml" ContentType="application/inkml+xml"/>
  <Override PartName="/xl/ink/ink9.xml" ContentType="application/inkml+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autoCompressPictures="0"/>
  <mc:AlternateContent xmlns:mc="http://schemas.openxmlformats.org/markup-compatibility/2006">
    <mc:Choice Requires="x15">
      <x15ac:absPath xmlns:x15ac="http://schemas.microsoft.com/office/spreadsheetml/2010/11/ac" url="C:\Users\mpcar\Documents\9. PBC Eco Eval\2017 social enterprises eco eval\3 worked examples\"/>
    </mc:Choice>
  </mc:AlternateContent>
  <xr:revisionPtr revIDLastSave="0" documentId="13_ncr:1_{B2FEF613-6BDB-4FE9-9625-ADE9A594FD7C}" xr6:coauthVersionLast="34" xr6:coauthVersionMax="34" xr10:uidLastSave="{00000000-0000-0000-0000-000000000000}"/>
  <bookViews>
    <workbookView xWindow="0" yWindow="0" windowWidth="20460" windowHeight="7065" tabRatio="798" xr2:uid="{00000000-000D-0000-FFFF-FFFF00000000}"/>
  </bookViews>
  <sheets>
    <sheet name="Intro, Audits &amp; Log" sheetId="5" r:id="rId1"/>
    <sheet name="Sales&amp;Revenue" sheetId="6" r:id="rId2"/>
    <sheet name="Capital &amp; Operating Costs" sheetId="7" r:id="rId3"/>
    <sheet name="Taxes" sheetId="10" r:id="rId4"/>
    <sheet name="Net Cashflow - before funding" sheetId="11" r:id="rId5"/>
    <sheet name="Project funding (Nominal)" sheetId="12" r:id="rId6"/>
    <sheet name="Accounting (Nominal)" sheetId="16" r:id="rId7"/>
  </sheets>
  <definedNames>
    <definedName name="_xlnm.Print_Area" localSheetId="2">'Capital &amp; Operating Costs'!$A$1:$O$187</definedName>
    <definedName name="_xlnm.Print_Area" localSheetId="0">'Intro, Audits &amp; Log'!$A$1:$S$35</definedName>
    <definedName name="_xlnm.Print_Area" localSheetId="4">'Net Cashflow - before funding'!$A$1:$O$53</definedName>
    <definedName name="_xlnm.Print_Area" localSheetId="5">'Project funding (Nominal)'!$A$1:$O$33</definedName>
    <definedName name="_xlnm.Print_Area" localSheetId="1">'Sales&amp;Revenue'!$A$1:$O$126</definedName>
    <definedName name="_xlnm.Print_Area" localSheetId="3">Taxes!$A$1:$O$83</definedName>
  </definedNames>
  <calcPr calcId="179021"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81" i="6" l="1"/>
  <c r="D82" i="6"/>
  <c r="D83" i="6"/>
  <c r="D84" i="6"/>
  <c r="D105" i="6"/>
  <c r="D65" i="6"/>
  <c r="D89" i="6"/>
  <c r="D91" i="6"/>
  <c r="D106" i="6"/>
  <c r="D96" i="6"/>
  <c r="D98" i="6"/>
  <c r="D102" i="6"/>
  <c r="D107" i="6"/>
  <c r="D108" i="6"/>
  <c r="D114" i="6"/>
  <c r="D118" i="6"/>
  <c r="D120" i="6"/>
  <c r="D121" i="6"/>
  <c r="D124" i="6"/>
  <c r="D29" i="12"/>
  <c r="D28" i="7"/>
  <c r="D35" i="7"/>
  <c r="D30" i="12"/>
  <c r="D65" i="7"/>
  <c r="E62" i="6"/>
  <c r="E65" i="7"/>
  <c r="D73" i="7"/>
  <c r="D74" i="7"/>
  <c r="D82" i="7"/>
  <c r="D100" i="7"/>
  <c r="D105" i="7"/>
  <c r="D66" i="7"/>
  <c r="E63" i="6"/>
  <c r="E66" i="7"/>
  <c r="D76" i="7"/>
  <c r="D77" i="7"/>
  <c r="D83" i="7"/>
  <c r="D97" i="7"/>
  <c r="D101" i="7"/>
  <c r="D106" i="7"/>
  <c r="D67" i="7"/>
  <c r="E64" i="6"/>
  <c r="E67" i="7"/>
  <c r="D79" i="7"/>
  <c r="D80" i="7"/>
  <c r="D84" i="7"/>
  <c r="D98" i="7"/>
  <c r="D102" i="7"/>
  <c r="D107" i="7"/>
  <c r="D108" i="7"/>
  <c r="D167" i="7"/>
  <c r="D85" i="7"/>
  <c r="D112" i="7"/>
  <c r="D114" i="7"/>
  <c r="D168" i="7"/>
  <c r="D118" i="7"/>
  <c r="D120" i="7"/>
  <c r="D169" i="7"/>
  <c r="D68" i="7"/>
  <c r="D142" i="7"/>
  <c r="D170" i="7"/>
  <c r="D162" i="7"/>
  <c r="D171" i="7"/>
  <c r="D172" i="7"/>
  <c r="E65" i="6"/>
  <c r="E68" i="7"/>
  <c r="D177" i="7"/>
  <c r="D178" i="7"/>
  <c r="D183" i="7"/>
  <c r="D184" i="7"/>
  <c r="D187" i="7"/>
  <c r="D31" i="12"/>
  <c r="D25" i="10"/>
  <c r="D30" i="10"/>
  <c r="D31" i="10"/>
  <c r="D40" i="10"/>
  <c r="D38" i="10"/>
  <c r="D41" i="10"/>
  <c r="D44" i="10"/>
  <c r="D45" i="10"/>
  <c r="D46" i="10"/>
  <c r="D48" i="10"/>
  <c r="D63" i="10"/>
  <c r="D65" i="10"/>
  <c r="D66" i="10"/>
  <c r="D67" i="10"/>
  <c r="E28" i="7"/>
  <c r="D50" i="7"/>
  <c r="D53" i="7"/>
  <c r="D54" i="7"/>
  <c r="D44" i="7"/>
  <c r="D55" i="7"/>
  <c r="D57" i="7"/>
  <c r="D68" i="10"/>
  <c r="D69" i="10"/>
  <c r="D72" i="10"/>
  <c r="D73" i="10"/>
  <c r="D77" i="10"/>
  <c r="D53" i="10"/>
  <c r="D54" i="10"/>
  <c r="D56" i="10"/>
  <c r="D79" i="10"/>
  <c r="D81" i="10"/>
  <c r="D32" i="12"/>
  <c r="D33" i="12"/>
  <c r="D36" i="12"/>
  <c r="D37" i="12"/>
  <c r="D69" i="12"/>
  <c r="D45" i="12"/>
  <c r="D46" i="12"/>
  <c r="D55" i="12"/>
  <c r="D54" i="12"/>
  <c r="D56" i="12"/>
  <c r="D57" i="12"/>
  <c r="D58" i="12"/>
  <c r="D64" i="12"/>
  <c r="D70" i="12"/>
  <c r="D71" i="12"/>
  <c r="D72" i="12"/>
  <c r="D73" i="12"/>
  <c r="D74" i="12"/>
  <c r="E68" i="12"/>
  <c r="E76" i="6"/>
  <c r="E81" i="6"/>
  <c r="E77" i="6"/>
  <c r="E82" i="6"/>
  <c r="E78" i="6"/>
  <c r="E83" i="6"/>
  <c r="E84" i="6"/>
  <c r="E105" i="6"/>
  <c r="E89" i="6"/>
  <c r="E90" i="6"/>
  <c r="E91" i="6"/>
  <c r="E106" i="6"/>
  <c r="E96" i="6"/>
  <c r="E98" i="6"/>
  <c r="E101" i="6"/>
  <c r="E102" i="6"/>
  <c r="E107" i="6"/>
  <c r="E108" i="6"/>
  <c r="E113" i="6"/>
  <c r="E114" i="6"/>
  <c r="E117" i="6"/>
  <c r="E118" i="6"/>
  <c r="E120" i="6"/>
  <c r="E121" i="6"/>
  <c r="E124" i="6"/>
  <c r="E29" i="12"/>
  <c r="E34" i="7"/>
  <c r="E35" i="7"/>
  <c r="E30" i="12"/>
  <c r="F62" i="6"/>
  <c r="F65" i="7"/>
  <c r="E72" i="7"/>
  <c r="E73" i="7"/>
  <c r="E74" i="7"/>
  <c r="E82" i="7"/>
  <c r="E100" i="7"/>
  <c r="E105" i="7"/>
  <c r="F63" i="6"/>
  <c r="F66" i="7"/>
  <c r="E76" i="7"/>
  <c r="E77" i="7"/>
  <c r="E83" i="7"/>
  <c r="E101" i="7"/>
  <c r="E106" i="7"/>
  <c r="F60" i="6"/>
  <c r="F64" i="6"/>
  <c r="F67" i="7"/>
  <c r="E79" i="7"/>
  <c r="E80" i="7"/>
  <c r="E84" i="7"/>
  <c r="E102" i="7"/>
  <c r="E107" i="7"/>
  <c r="E108" i="7"/>
  <c r="E167" i="7"/>
  <c r="E85" i="7"/>
  <c r="E112" i="7"/>
  <c r="E113" i="7"/>
  <c r="E114" i="7"/>
  <c r="E168" i="7"/>
  <c r="E118" i="7"/>
  <c r="E119" i="7"/>
  <c r="E120" i="7"/>
  <c r="E169" i="7"/>
  <c r="E128" i="7"/>
  <c r="E131" i="7"/>
  <c r="E132" i="7"/>
  <c r="E133" i="7"/>
  <c r="E135" i="7"/>
  <c r="E136" i="7"/>
  <c r="E138" i="7"/>
  <c r="E139" i="7"/>
  <c r="E140" i="7"/>
  <c r="E141" i="7"/>
  <c r="E142" i="7"/>
  <c r="E170" i="7"/>
  <c r="E147" i="7"/>
  <c r="E148" i="7"/>
  <c r="E149" i="7"/>
  <c r="E150" i="7"/>
  <c r="E151" i="7"/>
  <c r="E153" i="7"/>
  <c r="E154" i="7"/>
  <c r="E156" i="7"/>
  <c r="E157" i="7"/>
  <c r="E159" i="7"/>
  <c r="E160" i="7"/>
  <c r="E161" i="7"/>
  <c r="E162" i="7"/>
  <c r="E171" i="7"/>
  <c r="E172" i="7"/>
  <c r="F65" i="6"/>
  <c r="F68" i="7"/>
  <c r="E176" i="7"/>
  <c r="E177" i="7"/>
  <c r="E178" i="7"/>
  <c r="E182" i="7"/>
  <c r="E183" i="7"/>
  <c r="E184" i="7"/>
  <c r="E187" i="7"/>
  <c r="E31" i="12"/>
  <c r="E25" i="10"/>
  <c r="E29" i="10"/>
  <c r="E30" i="10"/>
  <c r="E31" i="10"/>
  <c r="E40" i="10"/>
  <c r="E37" i="10"/>
  <c r="E38" i="10"/>
  <c r="E41" i="10"/>
  <c r="E44" i="10"/>
  <c r="E45" i="10"/>
  <c r="E46" i="10"/>
  <c r="E48" i="10"/>
  <c r="D74" i="10"/>
  <c r="E71" i="10"/>
  <c r="E63" i="10"/>
  <c r="E65" i="10"/>
  <c r="E66" i="10"/>
  <c r="E67" i="10"/>
  <c r="F28" i="7"/>
  <c r="D56" i="7"/>
  <c r="E52" i="7"/>
  <c r="E49" i="7"/>
  <c r="E50" i="7"/>
  <c r="E53" i="7"/>
  <c r="E54" i="7"/>
  <c r="E44" i="7"/>
  <c r="E55" i="7"/>
  <c r="E57" i="7"/>
  <c r="E68" i="10"/>
  <c r="E69" i="10"/>
  <c r="E72" i="10"/>
  <c r="E73" i="10"/>
  <c r="E76" i="10"/>
  <c r="E77" i="10"/>
  <c r="E53" i="10"/>
  <c r="E54" i="10"/>
  <c r="E55" i="10"/>
  <c r="E56" i="10"/>
  <c r="E79" i="10"/>
  <c r="E81" i="10"/>
  <c r="E32" i="12"/>
  <c r="E33" i="12"/>
  <c r="E35" i="12"/>
  <c r="E36" i="12"/>
  <c r="E37" i="12"/>
  <c r="E69" i="12"/>
  <c r="E53" i="12"/>
  <c r="E45" i="12"/>
  <c r="E46" i="12"/>
  <c r="E54" i="12"/>
  <c r="E51" i="12"/>
  <c r="E55" i="12"/>
  <c r="E56" i="12"/>
  <c r="E57" i="12"/>
  <c r="E58" i="12"/>
  <c r="E63" i="12"/>
  <c r="E64" i="12"/>
  <c r="E70" i="12"/>
  <c r="E71" i="12"/>
  <c r="E72" i="12"/>
  <c r="E73" i="12"/>
  <c r="E74" i="12"/>
  <c r="F68" i="12"/>
  <c r="F72" i="6"/>
  <c r="F76" i="6"/>
  <c r="F81" i="6"/>
  <c r="F73" i="6"/>
  <c r="F77" i="6"/>
  <c r="F82" i="6"/>
  <c r="F74" i="6"/>
  <c r="F78" i="6"/>
  <c r="F83" i="6"/>
  <c r="F84" i="6"/>
  <c r="F105" i="6"/>
  <c r="F89" i="6"/>
  <c r="F90" i="6"/>
  <c r="F91" i="6"/>
  <c r="F106" i="6"/>
  <c r="F96" i="6"/>
  <c r="F98" i="6"/>
  <c r="F101" i="6"/>
  <c r="F102" i="6"/>
  <c r="F107" i="6"/>
  <c r="F108" i="6"/>
  <c r="F113" i="6"/>
  <c r="F114" i="6"/>
  <c r="F117" i="6"/>
  <c r="F118" i="6"/>
  <c r="F120" i="6"/>
  <c r="F121" i="6"/>
  <c r="F124" i="6"/>
  <c r="F29" i="12"/>
  <c r="F32" i="7"/>
  <c r="F33" i="7"/>
  <c r="F34" i="7"/>
  <c r="F35" i="7"/>
  <c r="F30" i="12"/>
  <c r="G62" i="6"/>
  <c r="G65" i="7"/>
  <c r="F72" i="7"/>
  <c r="F73" i="7"/>
  <c r="F74" i="7"/>
  <c r="F82" i="7"/>
  <c r="F96" i="7"/>
  <c r="F100" i="7"/>
  <c r="F105" i="7"/>
  <c r="G63" i="6"/>
  <c r="G66" i="7"/>
  <c r="F76" i="7"/>
  <c r="F77" i="7"/>
  <c r="F83" i="7"/>
  <c r="F97" i="7"/>
  <c r="F101" i="7"/>
  <c r="F106" i="7"/>
  <c r="G60" i="6"/>
  <c r="G64" i="6"/>
  <c r="G67" i="7"/>
  <c r="F79" i="7"/>
  <c r="F80" i="7"/>
  <c r="F84" i="7"/>
  <c r="F98" i="7"/>
  <c r="F102" i="7"/>
  <c r="F107" i="7"/>
  <c r="F108" i="7"/>
  <c r="F167" i="7"/>
  <c r="F85" i="7"/>
  <c r="F112" i="7"/>
  <c r="F113" i="7"/>
  <c r="F114" i="7"/>
  <c r="F168" i="7"/>
  <c r="F118" i="7"/>
  <c r="F119" i="7"/>
  <c r="F120" i="7"/>
  <c r="F169" i="7"/>
  <c r="F128" i="7"/>
  <c r="F131" i="7"/>
  <c r="F132" i="7"/>
  <c r="F133" i="7"/>
  <c r="F135" i="7"/>
  <c r="F136" i="7"/>
  <c r="F138" i="7"/>
  <c r="F139" i="7"/>
  <c r="F140" i="7"/>
  <c r="F141" i="7"/>
  <c r="F142" i="7"/>
  <c r="F170" i="7"/>
  <c r="F147" i="7"/>
  <c r="F148" i="7"/>
  <c r="F149" i="7"/>
  <c r="F150" i="7"/>
  <c r="F151" i="7"/>
  <c r="F153" i="7"/>
  <c r="F154" i="7"/>
  <c r="F156" i="7"/>
  <c r="F157" i="7"/>
  <c r="F159" i="7"/>
  <c r="F160" i="7"/>
  <c r="F161" i="7"/>
  <c r="F162" i="7"/>
  <c r="F171" i="7"/>
  <c r="F172" i="7"/>
  <c r="G65" i="6"/>
  <c r="G68" i="7"/>
  <c r="F176" i="7"/>
  <c r="F177" i="7"/>
  <c r="F178" i="7"/>
  <c r="F182" i="7"/>
  <c r="F183" i="7"/>
  <c r="F184" i="7"/>
  <c r="F187" i="7"/>
  <c r="F31" i="12"/>
  <c r="F25" i="10"/>
  <c r="F29" i="10"/>
  <c r="F30" i="10"/>
  <c r="F31" i="10"/>
  <c r="F40" i="10"/>
  <c r="F37" i="10"/>
  <c r="F38" i="10"/>
  <c r="F41" i="10"/>
  <c r="F44" i="10"/>
  <c r="F45" i="10"/>
  <c r="F46" i="10"/>
  <c r="F48" i="10"/>
  <c r="E74" i="10"/>
  <c r="F71" i="10"/>
  <c r="F63" i="10"/>
  <c r="F65" i="10"/>
  <c r="F66" i="10"/>
  <c r="F67" i="10"/>
  <c r="G28" i="7"/>
  <c r="E56" i="7"/>
  <c r="F52" i="7"/>
  <c r="F49" i="7"/>
  <c r="F50" i="7"/>
  <c r="F53" i="7"/>
  <c r="F54" i="7"/>
  <c r="F44" i="7"/>
  <c r="F55" i="7"/>
  <c r="F57" i="7"/>
  <c r="F68" i="10"/>
  <c r="F69" i="10"/>
  <c r="F72" i="10"/>
  <c r="F73" i="10"/>
  <c r="F76" i="10"/>
  <c r="F77" i="10"/>
  <c r="F53" i="10"/>
  <c r="F54" i="10"/>
  <c r="F55" i="10"/>
  <c r="F56" i="10"/>
  <c r="F79" i="10"/>
  <c r="F81" i="10"/>
  <c r="F32" i="12"/>
  <c r="F33" i="12"/>
  <c r="F35" i="12"/>
  <c r="F36" i="12"/>
  <c r="F37" i="12"/>
  <c r="F69" i="12"/>
  <c r="F53" i="12"/>
  <c r="E44" i="12"/>
  <c r="F44" i="12"/>
  <c r="F45" i="12"/>
  <c r="F46" i="12"/>
  <c r="F54" i="12"/>
  <c r="F55" i="12"/>
  <c r="F56" i="12"/>
  <c r="F57" i="12"/>
  <c r="F58" i="12"/>
  <c r="F63" i="12"/>
  <c r="F64" i="12"/>
  <c r="F70" i="12"/>
  <c r="F71" i="12"/>
  <c r="F72" i="12"/>
  <c r="F73" i="12"/>
  <c r="F74" i="12"/>
  <c r="G68" i="12"/>
  <c r="G72" i="6"/>
  <c r="G76" i="6"/>
  <c r="G81" i="6"/>
  <c r="G73" i="6"/>
  <c r="G77" i="6"/>
  <c r="G82" i="6"/>
  <c r="G74" i="6"/>
  <c r="G78" i="6"/>
  <c r="G83" i="6"/>
  <c r="G84" i="6"/>
  <c r="G105" i="6"/>
  <c r="G89" i="6"/>
  <c r="G90" i="6"/>
  <c r="G91" i="6"/>
  <c r="G106" i="6"/>
  <c r="G96" i="6"/>
  <c r="G98" i="6"/>
  <c r="G101" i="6"/>
  <c r="G102" i="6"/>
  <c r="G107" i="6"/>
  <c r="G108" i="6"/>
  <c r="G113" i="6"/>
  <c r="G114" i="6"/>
  <c r="G117" i="6"/>
  <c r="G118" i="6"/>
  <c r="G120" i="6"/>
  <c r="G121" i="6"/>
  <c r="G124" i="6"/>
  <c r="G29" i="12"/>
  <c r="G32" i="7"/>
  <c r="G35" i="7"/>
  <c r="G30" i="12"/>
  <c r="H62" i="6"/>
  <c r="H65" i="7"/>
  <c r="G72" i="7"/>
  <c r="G73" i="7"/>
  <c r="G74" i="7"/>
  <c r="G82" i="7"/>
  <c r="G96" i="7"/>
  <c r="G100" i="7"/>
  <c r="G105" i="7"/>
  <c r="H59" i="6"/>
  <c r="H63" i="6"/>
  <c r="H66" i="7"/>
  <c r="G76" i="7"/>
  <c r="G77" i="7"/>
  <c r="G83" i="7"/>
  <c r="G97" i="7"/>
  <c r="G101" i="7"/>
  <c r="G106" i="7"/>
  <c r="H60" i="6"/>
  <c r="H64" i="6"/>
  <c r="H67" i="7"/>
  <c r="G79" i="7"/>
  <c r="G80" i="7"/>
  <c r="G84" i="7"/>
  <c r="G98" i="7"/>
  <c r="G102" i="7"/>
  <c r="G107" i="7"/>
  <c r="G108" i="7"/>
  <c r="G167" i="7"/>
  <c r="G85" i="7"/>
  <c r="G112" i="7"/>
  <c r="G113" i="7"/>
  <c r="G114" i="7"/>
  <c r="G168" i="7"/>
  <c r="G118" i="7"/>
  <c r="G119" i="7"/>
  <c r="G120" i="7"/>
  <c r="G169" i="7"/>
  <c r="G128" i="7"/>
  <c r="G129" i="7"/>
  <c r="G131" i="7"/>
  <c r="G132" i="7"/>
  <c r="G133" i="7"/>
  <c r="G135" i="7"/>
  <c r="G136" i="7"/>
  <c r="G138" i="7"/>
  <c r="G139" i="7"/>
  <c r="G140" i="7"/>
  <c r="G141" i="7"/>
  <c r="G142" i="7"/>
  <c r="G170" i="7"/>
  <c r="G147" i="7"/>
  <c r="G148" i="7"/>
  <c r="G149" i="7"/>
  <c r="G150" i="7"/>
  <c r="G151" i="7"/>
  <c r="G153" i="7"/>
  <c r="G154" i="7"/>
  <c r="G156" i="7"/>
  <c r="G157" i="7"/>
  <c r="G159" i="7"/>
  <c r="G160" i="7"/>
  <c r="G161" i="7"/>
  <c r="G162" i="7"/>
  <c r="G171" i="7"/>
  <c r="G172" i="7"/>
  <c r="H65" i="6"/>
  <c r="H68" i="7"/>
  <c r="G176" i="7"/>
  <c r="G177" i="7"/>
  <c r="G178" i="7"/>
  <c r="G182" i="7"/>
  <c r="G183" i="7"/>
  <c r="G184" i="7"/>
  <c r="G187" i="7"/>
  <c r="G31" i="12"/>
  <c r="G25" i="10"/>
  <c r="G29" i="10"/>
  <c r="G30" i="10"/>
  <c r="G31" i="10"/>
  <c r="G40" i="10"/>
  <c r="G37" i="10"/>
  <c r="G38" i="10"/>
  <c r="G41" i="10"/>
  <c r="G44" i="10"/>
  <c r="G45" i="10"/>
  <c r="G46" i="10"/>
  <c r="G48" i="10"/>
  <c r="F74" i="10"/>
  <c r="G71" i="10"/>
  <c r="G63" i="10"/>
  <c r="G65" i="10"/>
  <c r="G66" i="10"/>
  <c r="G67" i="10"/>
  <c r="H28" i="7"/>
  <c r="F56" i="7"/>
  <c r="G52" i="7"/>
  <c r="G49" i="7"/>
  <c r="G50" i="7"/>
  <c r="G53" i="7"/>
  <c r="G54" i="7"/>
  <c r="G44" i="7"/>
  <c r="G55" i="7"/>
  <c r="G57" i="7"/>
  <c r="G68" i="10"/>
  <c r="G69" i="10"/>
  <c r="G72" i="10"/>
  <c r="G73" i="10"/>
  <c r="G76" i="10"/>
  <c r="G77" i="10"/>
  <c r="G53" i="10"/>
  <c r="G54" i="10"/>
  <c r="G55" i="10"/>
  <c r="G56" i="10"/>
  <c r="G79" i="10"/>
  <c r="G81" i="10"/>
  <c r="G32" i="12"/>
  <c r="G33" i="12"/>
  <c r="G35" i="12"/>
  <c r="G36" i="12"/>
  <c r="G37" i="12"/>
  <c r="G69" i="12"/>
  <c r="G53" i="12"/>
  <c r="G45" i="12"/>
  <c r="G46" i="12"/>
  <c r="G54" i="12"/>
  <c r="G55" i="12"/>
  <c r="G56" i="12"/>
  <c r="G57" i="12"/>
  <c r="G58" i="12"/>
  <c r="G63" i="12"/>
  <c r="G64" i="12"/>
  <c r="G70" i="12"/>
  <c r="G71" i="12"/>
  <c r="G72" i="12"/>
  <c r="G73" i="12"/>
  <c r="G74" i="12"/>
  <c r="H68" i="12"/>
  <c r="H72" i="6"/>
  <c r="H76" i="6"/>
  <c r="H81" i="6"/>
  <c r="H73" i="6"/>
  <c r="H77" i="6"/>
  <c r="H82" i="6"/>
  <c r="H74" i="6"/>
  <c r="H78" i="6"/>
  <c r="H83" i="6"/>
  <c r="H84" i="6"/>
  <c r="H105" i="6"/>
  <c r="H89" i="6"/>
  <c r="H90" i="6"/>
  <c r="H91" i="6"/>
  <c r="H106" i="6"/>
  <c r="H96" i="6"/>
  <c r="H98" i="6"/>
  <c r="H101" i="6"/>
  <c r="H102" i="6"/>
  <c r="H107" i="6"/>
  <c r="H108" i="6"/>
  <c r="H113" i="6"/>
  <c r="H114" i="6"/>
  <c r="H117" i="6"/>
  <c r="H118" i="6"/>
  <c r="H120" i="6"/>
  <c r="H121" i="6"/>
  <c r="H124" i="6"/>
  <c r="H29" i="12"/>
  <c r="H31" i="7"/>
  <c r="H32" i="7"/>
  <c r="H33" i="7"/>
  <c r="H34" i="7"/>
  <c r="H35" i="7"/>
  <c r="H30" i="12"/>
  <c r="I58" i="6"/>
  <c r="I62" i="6"/>
  <c r="I65" i="7"/>
  <c r="H72" i="7"/>
  <c r="H73" i="7"/>
  <c r="H74" i="7"/>
  <c r="H82" i="7"/>
  <c r="H96" i="7"/>
  <c r="H100" i="7"/>
  <c r="H105" i="7"/>
  <c r="I59" i="6"/>
  <c r="I63" i="6"/>
  <c r="I66" i="7"/>
  <c r="H76" i="7"/>
  <c r="H77" i="7"/>
  <c r="H83" i="7"/>
  <c r="H97" i="7"/>
  <c r="H101" i="7"/>
  <c r="H106" i="7"/>
  <c r="I60" i="6"/>
  <c r="I64" i="6"/>
  <c r="I67" i="7"/>
  <c r="H79" i="7"/>
  <c r="H80" i="7"/>
  <c r="H84" i="7"/>
  <c r="H98" i="7"/>
  <c r="H102" i="7"/>
  <c r="H107" i="7"/>
  <c r="H108" i="7"/>
  <c r="H167" i="7"/>
  <c r="H85" i="7"/>
  <c r="H112" i="7"/>
  <c r="H113" i="7"/>
  <c r="H114" i="7"/>
  <c r="H168" i="7"/>
  <c r="H118" i="7"/>
  <c r="H119" i="7"/>
  <c r="H120" i="7"/>
  <c r="H169" i="7"/>
  <c r="H128" i="7"/>
  <c r="H129" i="7"/>
  <c r="H130" i="7"/>
  <c r="H131" i="7"/>
  <c r="H132" i="7"/>
  <c r="H133" i="7"/>
  <c r="H135" i="7"/>
  <c r="H136" i="7"/>
  <c r="H138" i="7"/>
  <c r="H139" i="7"/>
  <c r="H140" i="7"/>
  <c r="H141" i="7"/>
  <c r="H142" i="7"/>
  <c r="H170" i="7"/>
  <c r="H147" i="7"/>
  <c r="H148" i="7"/>
  <c r="H149" i="7"/>
  <c r="H150" i="7"/>
  <c r="H151" i="7"/>
  <c r="H153" i="7"/>
  <c r="H154" i="7"/>
  <c r="H156" i="7"/>
  <c r="H157" i="7"/>
  <c r="H159" i="7"/>
  <c r="H160" i="7"/>
  <c r="H161" i="7"/>
  <c r="H162" i="7"/>
  <c r="H171" i="7"/>
  <c r="H172" i="7"/>
  <c r="I65" i="6"/>
  <c r="I68" i="7"/>
  <c r="H176" i="7"/>
  <c r="H177" i="7"/>
  <c r="H178" i="7"/>
  <c r="H182" i="7"/>
  <c r="H183" i="7"/>
  <c r="H184" i="7"/>
  <c r="H187" i="7"/>
  <c r="H31" i="12"/>
  <c r="H25" i="10"/>
  <c r="H29" i="10"/>
  <c r="H30" i="10"/>
  <c r="H31" i="10"/>
  <c r="H40" i="10"/>
  <c r="H37" i="10"/>
  <c r="H38" i="10"/>
  <c r="H41" i="10"/>
  <c r="H44" i="10"/>
  <c r="H45" i="10"/>
  <c r="H46" i="10"/>
  <c r="H48" i="10"/>
  <c r="G74" i="10"/>
  <c r="H71" i="10"/>
  <c r="H63" i="10"/>
  <c r="H65" i="10"/>
  <c r="H66" i="10"/>
  <c r="H67" i="10"/>
  <c r="I28" i="7"/>
  <c r="G56" i="7"/>
  <c r="H52" i="7"/>
  <c r="H49" i="7"/>
  <c r="H50" i="7"/>
  <c r="H53" i="7"/>
  <c r="H54" i="7"/>
  <c r="H44" i="7"/>
  <c r="H55" i="7"/>
  <c r="H57" i="7"/>
  <c r="H68" i="10"/>
  <c r="H69" i="10"/>
  <c r="H72" i="10"/>
  <c r="H73" i="10"/>
  <c r="H76" i="10"/>
  <c r="H77" i="10"/>
  <c r="H53" i="10"/>
  <c r="H54" i="10"/>
  <c r="H55" i="10"/>
  <c r="H56" i="10"/>
  <c r="H79" i="10"/>
  <c r="H81" i="10"/>
  <c r="H32" i="12"/>
  <c r="H33" i="12"/>
  <c r="H35" i="12"/>
  <c r="H36" i="12"/>
  <c r="H37" i="12"/>
  <c r="H69" i="12"/>
  <c r="H53" i="12"/>
  <c r="H45" i="12"/>
  <c r="H46" i="12"/>
  <c r="H56" i="12"/>
  <c r="H57" i="12"/>
  <c r="H58" i="12"/>
  <c r="H63" i="12"/>
  <c r="H64" i="12"/>
  <c r="H70" i="12"/>
  <c r="H71" i="12"/>
  <c r="H72" i="12"/>
  <c r="H73" i="12"/>
  <c r="H74" i="12"/>
  <c r="I68" i="12"/>
  <c r="I72" i="6"/>
  <c r="I76" i="6"/>
  <c r="I81" i="6"/>
  <c r="I73" i="6"/>
  <c r="I77" i="6"/>
  <c r="I82" i="6"/>
  <c r="I74" i="6"/>
  <c r="I78" i="6"/>
  <c r="I83" i="6"/>
  <c r="I84" i="6"/>
  <c r="I105" i="6"/>
  <c r="I89" i="6"/>
  <c r="I90" i="6"/>
  <c r="I91" i="6"/>
  <c r="I106" i="6"/>
  <c r="I96" i="6"/>
  <c r="I98" i="6"/>
  <c r="I101" i="6"/>
  <c r="I102" i="6"/>
  <c r="I107" i="6"/>
  <c r="I108" i="6"/>
  <c r="I113" i="6"/>
  <c r="I114" i="6"/>
  <c r="I117" i="6"/>
  <c r="I118" i="6"/>
  <c r="I120" i="6"/>
  <c r="I121" i="6"/>
  <c r="I124" i="6"/>
  <c r="I29" i="12"/>
  <c r="I31" i="7"/>
  <c r="I32" i="7"/>
  <c r="I33" i="7"/>
  <c r="I34" i="7"/>
  <c r="I35" i="7"/>
  <c r="I30" i="12"/>
  <c r="J62" i="6"/>
  <c r="J65" i="7"/>
  <c r="I72" i="7"/>
  <c r="I73" i="7"/>
  <c r="I74" i="7"/>
  <c r="I82" i="7"/>
  <c r="I96" i="7"/>
  <c r="I100" i="7"/>
  <c r="I105" i="7"/>
  <c r="J63" i="6"/>
  <c r="J66" i="7"/>
  <c r="I76" i="7"/>
  <c r="I77" i="7"/>
  <c r="I83" i="7"/>
  <c r="I97" i="7"/>
  <c r="I101" i="7"/>
  <c r="I106" i="7"/>
  <c r="J64" i="6"/>
  <c r="J67" i="7"/>
  <c r="I79" i="7"/>
  <c r="I80" i="7"/>
  <c r="I84" i="7"/>
  <c r="I98" i="7"/>
  <c r="I102" i="7"/>
  <c r="I107" i="7"/>
  <c r="I108" i="7"/>
  <c r="I167" i="7"/>
  <c r="I85" i="7"/>
  <c r="I112" i="7"/>
  <c r="I113" i="7"/>
  <c r="I114" i="7"/>
  <c r="I168" i="7"/>
  <c r="I118" i="7"/>
  <c r="I119" i="7"/>
  <c r="I120" i="7"/>
  <c r="I169" i="7"/>
  <c r="I128" i="7"/>
  <c r="I129" i="7"/>
  <c r="I130" i="7"/>
  <c r="I131" i="7"/>
  <c r="I132" i="7"/>
  <c r="I133" i="7"/>
  <c r="I135" i="7"/>
  <c r="I136" i="7"/>
  <c r="I138" i="7"/>
  <c r="I139" i="7"/>
  <c r="I140" i="7"/>
  <c r="I141" i="7"/>
  <c r="I142" i="7"/>
  <c r="I170" i="7"/>
  <c r="I147" i="7"/>
  <c r="I148" i="7"/>
  <c r="I149" i="7"/>
  <c r="I150" i="7"/>
  <c r="I151" i="7"/>
  <c r="I153" i="7"/>
  <c r="I154" i="7"/>
  <c r="I156" i="7"/>
  <c r="I157" i="7"/>
  <c r="I159" i="7"/>
  <c r="I160" i="7"/>
  <c r="I161" i="7"/>
  <c r="I162" i="7"/>
  <c r="I171" i="7"/>
  <c r="I172" i="7"/>
  <c r="J65" i="6"/>
  <c r="J68" i="7"/>
  <c r="I176" i="7"/>
  <c r="I177" i="7"/>
  <c r="I178" i="7"/>
  <c r="I182" i="7"/>
  <c r="I183" i="7"/>
  <c r="I184" i="7"/>
  <c r="I187" i="7"/>
  <c r="I31" i="12"/>
  <c r="I25" i="10"/>
  <c r="I29" i="10"/>
  <c r="I30" i="10"/>
  <c r="I31" i="10"/>
  <c r="I40" i="10"/>
  <c r="I37" i="10"/>
  <c r="I38" i="10"/>
  <c r="I41" i="10"/>
  <c r="I44" i="10"/>
  <c r="I45" i="10"/>
  <c r="I46" i="10"/>
  <c r="I48" i="10"/>
  <c r="H74" i="10"/>
  <c r="I71" i="10"/>
  <c r="I63" i="10"/>
  <c r="I65" i="10"/>
  <c r="I66" i="10"/>
  <c r="I67" i="10"/>
  <c r="J28" i="7"/>
  <c r="H56" i="7"/>
  <c r="I52" i="7"/>
  <c r="I49" i="7"/>
  <c r="I50" i="7"/>
  <c r="I53" i="7"/>
  <c r="I54" i="7"/>
  <c r="I44" i="7"/>
  <c r="I55" i="7"/>
  <c r="I57" i="7"/>
  <c r="I68" i="10"/>
  <c r="I69" i="10"/>
  <c r="I72" i="10"/>
  <c r="I73" i="10"/>
  <c r="I76" i="10"/>
  <c r="I77" i="10"/>
  <c r="I53" i="10"/>
  <c r="I54" i="10"/>
  <c r="I55" i="10"/>
  <c r="I56" i="10"/>
  <c r="I79" i="10"/>
  <c r="I81" i="10"/>
  <c r="I32" i="12"/>
  <c r="I33" i="12"/>
  <c r="I35" i="12"/>
  <c r="I36" i="12"/>
  <c r="I37" i="12"/>
  <c r="I69" i="12"/>
  <c r="I53" i="12"/>
  <c r="I45" i="12"/>
  <c r="I46" i="12"/>
  <c r="I56" i="12"/>
  <c r="I57" i="12"/>
  <c r="I58" i="12"/>
  <c r="I63" i="12"/>
  <c r="I64" i="12"/>
  <c r="I70" i="12"/>
  <c r="I71" i="12"/>
  <c r="I72" i="12"/>
  <c r="I73" i="12"/>
  <c r="I74" i="12"/>
  <c r="J68" i="12"/>
  <c r="J72" i="6"/>
  <c r="J76" i="6"/>
  <c r="J81" i="6"/>
  <c r="J73" i="6"/>
  <c r="J77" i="6"/>
  <c r="J82" i="6"/>
  <c r="J74" i="6"/>
  <c r="J78" i="6"/>
  <c r="J83" i="6"/>
  <c r="J84" i="6"/>
  <c r="J105" i="6"/>
  <c r="J89" i="6"/>
  <c r="J90" i="6"/>
  <c r="J91" i="6"/>
  <c r="J106" i="6"/>
  <c r="J96" i="6"/>
  <c r="J97" i="6"/>
  <c r="J98" i="6"/>
  <c r="J101" i="6"/>
  <c r="J102" i="6"/>
  <c r="J107" i="6"/>
  <c r="J108" i="6"/>
  <c r="J113" i="6"/>
  <c r="J114" i="6"/>
  <c r="J117" i="6"/>
  <c r="J118" i="6"/>
  <c r="J120" i="6"/>
  <c r="J121" i="6"/>
  <c r="J124" i="6"/>
  <c r="J29" i="12"/>
  <c r="J31" i="7"/>
  <c r="J32" i="7"/>
  <c r="J33" i="7"/>
  <c r="J34" i="7"/>
  <c r="J35" i="7"/>
  <c r="J30" i="12"/>
  <c r="K62" i="6"/>
  <c r="K65" i="7"/>
  <c r="J72" i="7"/>
  <c r="J73" i="7"/>
  <c r="J74" i="7"/>
  <c r="J82" i="7"/>
  <c r="J96" i="7"/>
  <c r="J100" i="7"/>
  <c r="J105" i="7"/>
  <c r="K63" i="6"/>
  <c r="K66" i="7"/>
  <c r="J76" i="7"/>
  <c r="J77" i="7"/>
  <c r="J83" i="7"/>
  <c r="J97" i="7"/>
  <c r="J101" i="7"/>
  <c r="J106" i="7"/>
  <c r="K64" i="6"/>
  <c r="K67" i="7"/>
  <c r="J79" i="7"/>
  <c r="J80" i="7"/>
  <c r="J84" i="7"/>
  <c r="J98" i="7"/>
  <c r="J102" i="7"/>
  <c r="J107" i="7"/>
  <c r="J108" i="7"/>
  <c r="J167" i="7"/>
  <c r="J85" i="7"/>
  <c r="J112" i="7"/>
  <c r="J113" i="7"/>
  <c r="J114" i="7"/>
  <c r="J168" i="7"/>
  <c r="J118" i="7"/>
  <c r="J119" i="7"/>
  <c r="J120" i="7"/>
  <c r="J169" i="7"/>
  <c r="J128" i="7"/>
  <c r="J129" i="7"/>
  <c r="J130" i="7"/>
  <c r="J131" i="7"/>
  <c r="J132" i="7"/>
  <c r="J133" i="7"/>
  <c r="J135" i="7"/>
  <c r="J136" i="7"/>
  <c r="J138" i="7"/>
  <c r="J139" i="7"/>
  <c r="J140" i="7"/>
  <c r="J141" i="7"/>
  <c r="J142" i="7"/>
  <c r="J170" i="7"/>
  <c r="J147" i="7"/>
  <c r="J148" i="7"/>
  <c r="J149" i="7"/>
  <c r="J150" i="7"/>
  <c r="J151" i="7"/>
  <c r="J153" i="7"/>
  <c r="J154" i="7"/>
  <c r="J156" i="7"/>
  <c r="J157" i="7"/>
  <c r="J159" i="7"/>
  <c r="J160" i="7"/>
  <c r="J161" i="7"/>
  <c r="J162" i="7"/>
  <c r="J171" i="7"/>
  <c r="J172" i="7"/>
  <c r="K65" i="6"/>
  <c r="K68" i="7"/>
  <c r="J176" i="7"/>
  <c r="J177" i="7"/>
  <c r="J178" i="7"/>
  <c r="J182" i="7"/>
  <c r="J183" i="7"/>
  <c r="J184" i="7"/>
  <c r="J187" i="7"/>
  <c r="J31" i="12"/>
  <c r="J25" i="10"/>
  <c r="J29" i="10"/>
  <c r="J30" i="10"/>
  <c r="J31" i="10"/>
  <c r="J40" i="10"/>
  <c r="J37" i="10"/>
  <c r="J38" i="10"/>
  <c r="J41" i="10"/>
  <c r="J44" i="10"/>
  <c r="J45" i="10"/>
  <c r="J46" i="10"/>
  <c r="J48" i="10"/>
  <c r="I74" i="10"/>
  <c r="J71" i="10"/>
  <c r="J63" i="10"/>
  <c r="J65" i="10"/>
  <c r="J66" i="10"/>
  <c r="J67" i="10"/>
  <c r="K28" i="7"/>
  <c r="I56" i="7"/>
  <c r="J52" i="7"/>
  <c r="J49" i="7"/>
  <c r="J50" i="7"/>
  <c r="J53" i="7"/>
  <c r="J54" i="7"/>
  <c r="J44" i="7"/>
  <c r="J55" i="7"/>
  <c r="J57" i="7"/>
  <c r="J68" i="10"/>
  <c r="J69" i="10"/>
  <c r="J72" i="10"/>
  <c r="J73" i="10"/>
  <c r="J76" i="10"/>
  <c r="J77" i="10"/>
  <c r="J53" i="10"/>
  <c r="J54" i="10"/>
  <c r="J55" i="10"/>
  <c r="J56" i="10"/>
  <c r="J79" i="10"/>
  <c r="J81" i="10"/>
  <c r="J32" i="12"/>
  <c r="J33" i="12"/>
  <c r="J35" i="12"/>
  <c r="J36" i="12"/>
  <c r="J37" i="12"/>
  <c r="J69" i="12"/>
  <c r="J53" i="12"/>
  <c r="J45" i="12"/>
  <c r="J46" i="12"/>
  <c r="J56" i="12"/>
  <c r="J57" i="12"/>
  <c r="J58" i="12"/>
  <c r="J63" i="12"/>
  <c r="J64" i="12"/>
  <c r="J70" i="12"/>
  <c r="J71" i="12"/>
  <c r="J72" i="12"/>
  <c r="J73" i="12"/>
  <c r="J74" i="12"/>
  <c r="K68" i="12"/>
  <c r="K72" i="6"/>
  <c r="K76" i="6"/>
  <c r="K81" i="6"/>
  <c r="K73" i="6"/>
  <c r="K77" i="6"/>
  <c r="K82" i="6"/>
  <c r="K74" i="6"/>
  <c r="K78" i="6"/>
  <c r="K83" i="6"/>
  <c r="K84" i="6"/>
  <c r="K105" i="6"/>
  <c r="K89" i="6"/>
  <c r="K90" i="6"/>
  <c r="K91" i="6"/>
  <c r="K106" i="6"/>
  <c r="K96" i="6"/>
  <c r="K97" i="6"/>
  <c r="K98" i="6"/>
  <c r="K101" i="6"/>
  <c r="K102" i="6"/>
  <c r="K107" i="6"/>
  <c r="K108" i="6"/>
  <c r="K113" i="6"/>
  <c r="K114" i="6"/>
  <c r="K117" i="6"/>
  <c r="K118" i="6"/>
  <c r="K120" i="6"/>
  <c r="K121" i="6"/>
  <c r="K124" i="6"/>
  <c r="K29" i="12"/>
  <c r="K31" i="7"/>
  <c r="K32" i="7"/>
  <c r="K33" i="7"/>
  <c r="K34" i="7"/>
  <c r="K35" i="7"/>
  <c r="K30" i="12"/>
  <c r="L58" i="6"/>
  <c r="L62" i="6"/>
  <c r="L65" i="7"/>
  <c r="K72" i="7"/>
  <c r="K73" i="7"/>
  <c r="K74" i="7"/>
  <c r="K82" i="7"/>
  <c r="K96" i="7"/>
  <c r="K100" i="7"/>
  <c r="K105" i="7"/>
  <c r="L59" i="6"/>
  <c r="L63" i="6"/>
  <c r="L66" i="7"/>
  <c r="K76" i="7"/>
  <c r="K77" i="7"/>
  <c r="K83" i="7"/>
  <c r="K97" i="7"/>
  <c r="K101" i="7"/>
  <c r="K106" i="7"/>
  <c r="L60" i="6"/>
  <c r="L64" i="6"/>
  <c r="L67" i="7"/>
  <c r="K79" i="7"/>
  <c r="K80" i="7"/>
  <c r="K84" i="7"/>
  <c r="K98" i="7"/>
  <c r="K102" i="7"/>
  <c r="K107" i="7"/>
  <c r="K108" i="7"/>
  <c r="K167" i="7"/>
  <c r="K85" i="7"/>
  <c r="K112" i="7"/>
  <c r="K113" i="7"/>
  <c r="K114" i="7"/>
  <c r="K168" i="7"/>
  <c r="K118" i="7"/>
  <c r="K119" i="7"/>
  <c r="K120" i="7"/>
  <c r="K169" i="7"/>
  <c r="K128" i="7"/>
  <c r="K129" i="7"/>
  <c r="K130" i="7"/>
  <c r="K131" i="7"/>
  <c r="K132" i="7"/>
  <c r="K133" i="7"/>
  <c r="K135" i="7"/>
  <c r="K136" i="7"/>
  <c r="K138" i="7"/>
  <c r="K139" i="7"/>
  <c r="K140" i="7"/>
  <c r="K141" i="7"/>
  <c r="K142" i="7"/>
  <c r="K170" i="7"/>
  <c r="K147" i="7"/>
  <c r="K148" i="7"/>
  <c r="K149" i="7"/>
  <c r="K150" i="7"/>
  <c r="K151" i="7"/>
  <c r="K153" i="7"/>
  <c r="K154" i="7"/>
  <c r="K156" i="7"/>
  <c r="K157" i="7"/>
  <c r="K159" i="7"/>
  <c r="K160" i="7"/>
  <c r="K161" i="7"/>
  <c r="K162" i="7"/>
  <c r="K171" i="7"/>
  <c r="K172" i="7"/>
  <c r="L65" i="6"/>
  <c r="L68" i="7"/>
  <c r="K176" i="7"/>
  <c r="K177" i="7"/>
  <c r="K178" i="7"/>
  <c r="K182" i="7"/>
  <c r="K183" i="7"/>
  <c r="K184" i="7"/>
  <c r="K187" i="7"/>
  <c r="K31" i="12"/>
  <c r="K25" i="10"/>
  <c r="K29" i="10"/>
  <c r="K30" i="10"/>
  <c r="K31" i="10"/>
  <c r="K40" i="10"/>
  <c r="K37" i="10"/>
  <c r="K38" i="10"/>
  <c r="K41" i="10"/>
  <c r="K44" i="10"/>
  <c r="K45" i="10"/>
  <c r="K46" i="10"/>
  <c r="K48" i="10"/>
  <c r="J74" i="10"/>
  <c r="K71" i="10"/>
  <c r="K63" i="10"/>
  <c r="K65" i="10"/>
  <c r="K66" i="10"/>
  <c r="K67" i="10"/>
  <c r="L28" i="7"/>
  <c r="J56" i="7"/>
  <c r="K52" i="7"/>
  <c r="K49" i="7"/>
  <c r="K50" i="7"/>
  <c r="K53" i="7"/>
  <c r="K54" i="7"/>
  <c r="K44" i="7"/>
  <c r="K55" i="7"/>
  <c r="K57" i="7"/>
  <c r="K68" i="10"/>
  <c r="K69" i="10"/>
  <c r="K72" i="10"/>
  <c r="K73" i="10"/>
  <c r="K76" i="10"/>
  <c r="K77" i="10"/>
  <c r="K53" i="10"/>
  <c r="K54" i="10"/>
  <c r="K55" i="10"/>
  <c r="K56" i="10"/>
  <c r="K79" i="10"/>
  <c r="K81" i="10"/>
  <c r="K32" i="12"/>
  <c r="K33" i="12"/>
  <c r="K35" i="12"/>
  <c r="K36" i="12"/>
  <c r="K37" i="12"/>
  <c r="K69" i="12"/>
  <c r="K53" i="12"/>
  <c r="K45" i="12"/>
  <c r="K46" i="12"/>
  <c r="K56" i="12"/>
  <c r="K57" i="12"/>
  <c r="K58" i="12"/>
  <c r="K63" i="12"/>
  <c r="K64" i="12"/>
  <c r="K70" i="12"/>
  <c r="K71" i="12"/>
  <c r="K72" i="12"/>
  <c r="K73" i="12"/>
  <c r="K74" i="12"/>
  <c r="L68" i="12"/>
  <c r="L72" i="6"/>
  <c r="L76" i="6"/>
  <c r="L81" i="6"/>
  <c r="L73" i="6"/>
  <c r="L77" i="6"/>
  <c r="L82" i="6"/>
  <c r="L74" i="6"/>
  <c r="L78" i="6"/>
  <c r="L83" i="6"/>
  <c r="L84" i="6"/>
  <c r="L105" i="6"/>
  <c r="L89" i="6"/>
  <c r="L90" i="6"/>
  <c r="L91" i="6"/>
  <c r="L106" i="6"/>
  <c r="L96" i="6"/>
  <c r="L97" i="6"/>
  <c r="L98" i="6"/>
  <c r="L101" i="6"/>
  <c r="L102" i="6"/>
  <c r="L107" i="6"/>
  <c r="L108" i="6"/>
  <c r="L113" i="6"/>
  <c r="L114" i="6"/>
  <c r="L117" i="6"/>
  <c r="L118" i="6"/>
  <c r="L120" i="6"/>
  <c r="L121" i="6"/>
  <c r="L124" i="6"/>
  <c r="L29" i="12"/>
  <c r="L31" i="7"/>
  <c r="L32" i="7"/>
  <c r="L33" i="7"/>
  <c r="L34" i="7"/>
  <c r="L35" i="7"/>
  <c r="L30" i="12"/>
  <c r="M58" i="6"/>
  <c r="M62" i="6"/>
  <c r="M65" i="7"/>
  <c r="L72" i="7"/>
  <c r="L73" i="7"/>
  <c r="L74" i="7"/>
  <c r="L82" i="7"/>
  <c r="L96" i="7"/>
  <c r="L100" i="7"/>
  <c r="L105" i="7"/>
  <c r="M59" i="6"/>
  <c r="M63" i="6"/>
  <c r="M66" i="7"/>
  <c r="L76" i="7"/>
  <c r="L77" i="7"/>
  <c r="L83" i="7"/>
  <c r="L97" i="7"/>
  <c r="L101" i="7"/>
  <c r="L106" i="7"/>
  <c r="M60" i="6"/>
  <c r="M64" i="6"/>
  <c r="M67" i="7"/>
  <c r="L79" i="7"/>
  <c r="L80" i="7"/>
  <c r="L84" i="7"/>
  <c r="L98" i="7"/>
  <c r="L102" i="7"/>
  <c r="L107" i="7"/>
  <c r="L108" i="7"/>
  <c r="L167" i="7"/>
  <c r="L85" i="7"/>
  <c r="L112" i="7"/>
  <c r="L113" i="7"/>
  <c r="L114" i="7"/>
  <c r="L168" i="7"/>
  <c r="L118" i="7"/>
  <c r="L119" i="7"/>
  <c r="L120" i="7"/>
  <c r="L169" i="7"/>
  <c r="L128" i="7"/>
  <c r="L129" i="7"/>
  <c r="L130" i="7"/>
  <c r="L131" i="7"/>
  <c r="L132" i="7"/>
  <c r="L133" i="7"/>
  <c r="L135" i="7"/>
  <c r="L136" i="7"/>
  <c r="L138" i="7"/>
  <c r="L139" i="7"/>
  <c r="L140" i="7"/>
  <c r="L141" i="7"/>
  <c r="L142" i="7"/>
  <c r="L170" i="7"/>
  <c r="L147" i="7"/>
  <c r="L148" i="7"/>
  <c r="L149" i="7"/>
  <c r="L150" i="7"/>
  <c r="L151" i="7"/>
  <c r="L153" i="7"/>
  <c r="L154" i="7"/>
  <c r="L156" i="7"/>
  <c r="L157" i="7"/>
  <c r="L159" i="7"/>
  <c r="L160" i="7"/>
  <c r="L161" i="7"/>
  <c r="L162" i="7"/>
  <c r="L171" i="7"/>
  <c r="L172" i="7"/>
  <c r="M65" i="6"/>
  <c r="M68" i="7"/>
  <c r="L176" i="7"/>
  <c r="L177" i="7"/>
  <c r="L178" i="7"/>
  <c r="L182" i="7"/>
  <c r="L183" i="7"/>
  <c r="L184" i="7"/>
  <c r="L187" i="7"/>
  <c r="L31" i="12"/>
  <c r="L25" i="10"/>
  <c r="L29" i="10"/>
  <c r="L30" i="10"/>
  <c r="L31" i="10"/>
  <c r="L40" i="10"/>
  <c r="L37" i="10"/>
  <c r="L38" i="10"/>
  <c r="L41" i="10"/>
  <c r="L44" i="10"/>
  <c r="L45" i="10"/>
  <c r="L46" i="10"/>
  <c r="L48" i="10"/>
  <c r="K74" i="10"/>
  <c r="L71" i="10"/>
  <c r="L63" i="10"/>
  <c r="L65" i="10"/>
  <c r="L66" i="10"/>
  <c r="L67" i="10"/>
  <c r="M28" i="7"/>
  <c r="K56" i="7"/>
  <c r="L52" i="7"/>
  <c r="L49" i="7"/>
  <c r="L50" i="7"/>
  <c r="L53" i="7"/>
  <c r="L54" i="7"/>
  <c r="L44" i="7"/>
  <c r="L55" i="7"/>
  <c r="L57" i="7"/>
  <c r="L68" i="10"/>
  <c r="L69" i="10"/>
  <c r="L72" i="10"/>
  <c r="L73" i="10"/>
  <c r="L76" i="10"/>
  <c r="L77" i="10"/>
  <c r="L53" i="10"/>
  <c r="L54" i="10"/>
  <c r="L55" i="10"/>
  <c r="L56" i="10"/>
  <c r="L79" i="10"/>
  <c r="L81" i="10"/>
  <c r="L32" i="12"/>
  <c r="L33" i="12"/>
  <c r="L35" i="12"/>
  <c r="L36" i="12"/>
  <c r="L37" i="12"/>
  <c r="L69" i="12"/>
  <c r="L53" i="12"/>
  <c r="L45" i="12"/>
  <c r="L46" i="12"/>
  <c r="L56" i="12"/>
  <c r="L57" i="12"/>
  <c r="L58" i="12"/>
  <c r="L63" i="12"/>
  <c r="L64" i="12"/>
  <c r="L70" i="12"/>
  <c r="L71" i="12"/>
  <c r="L72" i="12"/>
  <c r="L73" i="12"/>
  <c r="L74" i="12"/>
  <c r="M68" i="12"/>
  <c r="M72" i="6"/>
  <c r="M76" i="6"/>
  <c r="M81" i="6"/>
  <c r="M73" i="6"/>
  <c r="M77" i="6"/>
  <c r="M82" i="6"/>
  <c r="M74" i="6"/>
  <c r="M78" i="6"/>
  <c r="M83" i="6"/>
  <c r="M84" i="6"/>
  <c r="M105" i="6"/>
  <c r="M89" i="6"/>
  <c r="M90" i="6"/>
  <c r="M91" i="6"/>
  <c r="M106" i="6"/>
  <c r="M96" i="6"/>
  <c r="M97" i="6"/>
  <c r="M98" i="6"/>
  <c r="M101" i="6"/>
  <c r="M102" i="6"/>
  <c r="M107" i="6"/>
  <c r="M108" i="6"/>
  <c r="M113" i="6"/>
  <c r="M114" i="6"/>
  <c r="M117" i="6"/>
  <c r="M118" i="6"/>
  <c r="M120" i="6"/>
  <c r="M121" i="6"/>
  <c r="M124" i="6"/>
  <c r="M29" i="12"/>
  <c r="M31" i="7"/>
  <c r="M32" i="7"/>
  <c r="M33" i="7"/>
  <c r="M34" i="7"/>
  <c r="M35" i="7"/>
  <c r="M30" i="12"/>
  <c r="N65" i="7"/>
  <c r="M73" i="7"/>
  <c r="M74" i="7"/>
  <c r="M82" i="7"/>
  <c r="M96" i="7"/>
  <c r="M100" i="7"/>
  <c r="M105" i="7"/>
  <c r="N66" i="7"/>
  <c r="M76" i="7"/>
  <c r="M77" i="7"/>
  <c r="M83" i="7"/>
  <c r="M97" i="7"/>
  <c r="M101" i="7"/>
  <c r="M106" i="7"/>
  <c r="N67" i="7"/>
  <c r="M79" i="7"/>
  <c r="M80" i="7"/>
  <c r="M84" i="7"/>
  <c r="M98" i="7"/>
  <c r="M102" i="7"/>
  <c r="M107" i="7"/>
  <c r="M108" i="7"/>
  <c r="M167" i="7"/>
  <c r="M85" i="7"/>
  <c r="M112" i="7"/>
  <c r="M113" i="7"/>
  <c r="M114" i="7"/>
  <c r="M168" i="7"/>
  <c r="M118" i="7"/>
  <c r="M119" i="7"/>
  <c r="M120" i="7"/>
  <c r="M169" i="7"/>
  <c r="M128" i="7"/>
  <c r="M129" i="7"/>
  <c r="M130" i="7"/>
  <c r="M131" i="7"/>
  <c r="M132" i="7"/>
  <c r="M133" i="7"/>
  <c r="M135" i="7"/>
  <c r="M136" i="7"/>
  <c r="M138" i="7"/>
  <c r="M139" i="7"/>
  <c r="M140" i="7"/>
  <c r="M141" i="7"/>
  <c r="M142" i="7"/>
  <c r="M170" i="7"/>
  <c r="M147" i="7"/>
  <c r="M148" i="7"/>
  <c r="M149" i="7"/>
  <c r="M150" i="7"/>
  <c r="M151" i="7"/>
  <c r="M153" i="7"/>
  <c r="M154" i="7"/>
  <c r="M156" i="7"/>
  <c r="M157" i="7"/>
  <c r="M159" i="7"/>
  <c r="M160" i="7"/>
  <c r="M161" i="7"/>
  <c r="M162" i="7"/>
  <c r="M171" i="7"/>
  <c r="M172" i="7"/>
  <c r="N68" i="7"/>
  <c r="M177" i="7"/>
  <c r="M178" i="7"/>
  <c r="M182" i="7"/>
  <c r="M183" i="7"/>
  <c r="M184" i="7"/>
  <c r="M187" i="7"/>
  <c r="M31" i="12"/>
  <c r="M25" i="10"/>
  <c r="M29" i="10"/>
  <c r="M30" i="10"/>
  <c r="M31" i="10"/>
  <c r="M40" i="10"/>
  <c r="M37" i="10"/>
  <c r="M38" i="10"/>
  <c r="M41" i="10"/>
  <c r="M44" i="10"/>
  <c r="M45" i="10"/>
  <c r="M46" i="10"/>
  <c r="M48" i="10"/>
  <c r="L74" i="10"/>
  <c r="M71" i="10"/>
  <c r="M63" i="10"/>
  <c r="M65" i="10"/>
  <c r="M66" i="10"/>
  <c r="M67" i="10"/>
  <c r="L56" i="7"/>
  <c r="M52" i="7"/>
  <c r="M49" i="7"/>
  <c r="M50" i="7"/>
  <c r="M53" i="7"/>
  <c r="M54" i="7"/>
  <c r="N28" i="7"/>
  <c r="M55" i="7"/>
  <c r="M57" i="7"/>
  <c r="M68" i="10"/>
  <c r="M69" i="10"/>
  <c r="M72" i="10"/>
  <c r="M73" i="10"/>
  <c r="M76" i="10"/>
  <c r="M77" i="10"/>
  <c r="M53" i="10"/>
  <c r="M54" i="10"/>
  <c r="M55" i="10"/>
  <c r="M56" i="10"/>
  <c r="M79" i="10"/>
  <c r="M81" i="10"/>
  <c r="M32" i="12"/>
  <c r="M33" i="12"/>
  <c r="M35" i="12"/>
  <c r="M36" i="12"/>
  <c r="M37" i="12"/>
  <c r="M69" i="12"/>
  <c r="M53" i="12"/>
  <c r="M45" i="12"/>
  <c r="M46" i="12"/>
  <c r="M56" i="12"/>
  <c r="M57" i="12"/>
  <c r="M58" i="12"/>
  <c r="M63" i="12"/>
  <c r="M64" i="12"/>
  <c r="M70" i="12"/>
  <c r="M71" i="12"/>
  <c r="M72" i="12"/>
  <c r="M73" i="12"/>
  <c r="M74" i="12"/>
  <c r="N68" i="12"/>
  <c r="N72" i="6"/>
  <c r="N76" i="6"/>
  <c r="N81" i="6"/>
  <c r="N73" i="6"/>
  <c r="N77" i="6"/>
  <c r="N82" i="6"/>
  <c r="N74" i="6"/>
  <c r="N78" i="6"/>
  <c r="N83" i="6"/>
  <c r="N84" i="6"/>
  <c r="N113" i="6"/>
  <c r="N114" i="6"/>
  <c r="N89" i="6"/>
  <c r="N90" i="6"/>
  <c r="N91" i="6"/>
  <c r="N96" i="6"/>
  <c r="N97" i="6"/>
  <c r="N98" i="6"/>
  <c r="N101" i="6"/>
  <c r="N102" i="6"/>
  <c r="N117" i="6"/>
  <c r="N118" i="6"/>
  <c r="N120" i="6"/>
  <c r="N121" i="6"/>
  <c r="N105" i="6"/>
  <c r="N106" i="6"/>
  <c r="N107" i="6"/>
  <c r="N108" i="6"/>
  <c r="N124" i="6"/>
  <c r="N29" i="12"/>
  <c r="O65" i="7"/>
  <c r="N73" i="7"/>
  <c r="N74" i="7"/>
  <c r="N82" i="7"/>
  <c r="N96" i="7"/>
  <c r="N100" i="7"/>
  <c r="N105" i="7"/>
  <c r="O66" i="7"/>
  <c r="N76" i="7"/>
  <c r="N77" i="7"/>
  <c r="N83" i="7"/>
  <c r="N97" i="7"/>
  <c r="N101" i="7"/>
  <c r="N106" i="7"/>
  <c r="O67" i="7"/>
  <c r="N79" i="7"/>
  <c r="N80" i="7"/>
  <c r="N84" i="7"/>
  <c r="N98" i="7"/>
  <c r="N102" i="7"/>
  <c r="N107" i="7"/>
  <c r="N108" i="7"/>
  <c r="N167" i="7"/>
  <c r="N85" i="7"/>
  <c r="N112" i="7"/>
  <c r="N113" i="7"/>
  <c r="N114" i="7"/>
  <c r="N168" i="7"/>
  <c r="N118" i="7"/>
  <c r="N119" i="7"/>
  <c r="N120" i="7"/>
  <c r="N169" i="7"/>
  <c r="N142" i="7"/>
  <c r="N170" i="7"/>
  <c r="N162" i="7"/>
  <c r="N171" i="7"/>
  <c r="N172" i="7"/>
  <c r="N182" i="7"/>
  <c r="N183" i="7"/>
  <c r="N184" i="7"/>
  <c r="O65" i="6"/>
  <c r="O68" i="7"/>
  <c r="N177" i="7"/>
  <c r="N178" i="7"/>
  <c r="N187" i="7"/>
  <c r="N31" i="12"/>
  <c r="N45" i="10"/>
  <c r="N37" i="10"/>
  <c r="N38" i="10"/>
  <c r="N35" i="7"/>
  <c r="N44" i="10"/>
  <c r="N46" i="10"/>
  <c r="N40" i="10"/>
  <c r="N41" i="10"/>
  <c r="N48" i="10"/>
  <c r="M74" i="10"/>
  <c r="N71" i="10"/>
  <c r="N65" i="10"/>
  <c r="N67" i="10"/>
  <c r="M56" i="7"/>
  <c r="N52" i="7"/>
  <c r="N49" i="7"/>
  <c r="N50" i="7"/>
  <c r="N53" i="7"/>
  <c r="N54" i="7"/>
  <c r="O28" i="7"/>
  <c r="M44" i="7"/>
  <c r="N44" i="7"/>
  <c r="N55" i="7"/>
  <c r="N57" i="7"/>
  <c r="N68" i="10"/>
  <c r="N63" i="10"/>
  <c r="N25" i="10"/>
  <c r="N31" i="10"/>
  <c r="N66" i="10"/>
  <c r="N69" i="10"/>
  <c r="N72" i="10"/>
  <c r="N73" i="10"/>
  <c r="N76" i="10"/>
  <c r="N77" i="10"/>
  <c r="N53" i="10"/>
  <c r="N54" i="10"/>
  <c r="N55" i="10"/>
  <c r="N56" i="10"/>
  <c r="N79" i="10"/>
  <c r="N81" i="10"/>
  <c r="N32" i="12"/>
  <c r="N30" i="12"/>
  <c r="N33" i="12"/>
  <c r="N35" i="12"/>
  <c r="N36" i="12"/>
  <c r="N37" i="12"/>
  <c r="N69" i="12"/>
  <c r="N53" i="12"/>
  <c r="N45" i="12"/>
  <c r="N46" i="12"/>
  <c r="N56" i="12"/>
  <c r="N57" i="12"/>
  <c r="N58" i="12"/>
  <c r="N63" i="12"/>
  <c r="N64" i="12"/>
  <c r="N70" i="12"/>
  <c r="N71" i="12"/>
  <c r="N72" i="12"/>
  <c r="N73" i="12"/>
  <c r="N74" i="12"/>
  <c r="O68" i="12"/>
  <c r="O73" i="7"/>
  <c r="O74" i="7"/>
  <c r="O82" i="7"/>
  <c r="O96" i="7"/>
  <c r="O100" i="7"/>
  <c r="O105" i="7"/>
  <c r="O76" i="7"/>
  <c r="O77" i="7"/>
  <c r="O83" i="7"/>
  <c r="O97" i="7"/>
  <c r="O101" i="7"/>
  <c r="O106" i="7"/>
  <c r="O79" i="7"/>
  <c r="O80" i="7"/>
  <c r="O84" i="7"/>
  <c r="O98" i="7"/>
  <c r="O102" i="7"/>
  <c r="O107" i="7"/>
  <c r="O108" i="7"/>
  <c r="O167" i="7"/>
  <c r="O85" i="7"/>
  <c r="O112" i="7"/>
  <c r="O113" i="7"/>
  <c r="O114" i="7"/>
  <c r="O168" i="7"/>
  <c r="O118" i="7"/>
  <c r="O119" i="7"/>
  <c r="O120" i="7"/>
  <c r="O169" i="7"/>
  <c r="O142" i="7"/>
  <c r="O170" i="7"/>
  <c r="O162" i="7"/>
  <c r="O171" i="7"/>
  <c r="O172" i="7"/>
  <c r="O182" i="7"/>
  <c r="O183" i="7"/>
  <c r="O184" i="7"/>
  <c r="O177" i="7"/>
  <c r="O178" i="7"/>
  <c r="O187" i="7"/>
  <c r="O31" i="12"/>
  <c r="N74" i="10"/>
  <c r="O71" i="10"/>
  <c r="N56" i="7"/>
  <c r="O52" i="7"/>
  <c r="O35" i="7"/>
  <c r="O49" i="7"/>
  <c r="O50" i="7"/>
  <c r="O53" i="7"/>
  <c r="O54" i="7"/>
  <c r="O44" i="7"/>
  <c r="O55" i="7"/>
  <c r="O57" i="7"/>
  <c r="O68" i="10"/>
  <c r="O72" i="6"/>
  <c r="O76" i="6"/>
  <c r="O81" i="6"/>
  <c r="O73" i="6"/>
  <c r="O77" i="6"/>
  <c r="O82" i="6"/>
  <c r="O74" i="6"/>
  <c r="O78" i="6"/>
  <c r="O83" i="6"/>
  <c r="O84" i="6"/>
  <c r="O105" i="6"/>
  <c r="O89" i="6"/>
  <c r="O90" i="6"/>
  <c r="O91" i="6"/>
  <c r="O106" i="6"/>
  <c r="O96" i="6"/>
  <c r="O97" i="6"/>
  <c r="O98" i="6"/>
  <c r="O101" i="6"/>
  <c r="O102" i="6"/>
  <c r="O107" i="6"/>
  <c r="O108" i="6"/>
  <c r="O63" i="10"/>
  <c r="O65" i="10"/>
  <c r="O25" i="10"/>
  <c r="O31" i="10"/>
  <c r="O66" i="10"/>
  <c r="O37" i="10"/>
  <c r="O38" i="10"/>
  <c r="O40" i="10"/>
  <c r="O41" i="10"/>
  <c r="O44" i="10"/>
  <c r="O45" i="10"/>
  <c r="O46" i="10"/>
  <c r="O48" i="10"/>
  <c r="O67" i="10"/>
  <c r="O69" i="10"/>
  <c r="O72" i="10"/>
  <c r="O73" i="10"/>
  <c r="O76" i="10"/>
  <c r="O77" i="10"/>
  <c r="O53" i="10"/>
  <c r="O54" i="10"/>
  <c r="O55" i="10"/>
  <c r="O56" i="10"/>
  <c r="O79" i="10"/>
  <c r="O81" i="10"/>
  <c r="O32" i="12"/>
  <c r="O113" i="6"/>
  <c r="O114" i="6"/>
  <c r="O117" i="6"/>
  <c r="O118" i="6"/>
  <c r="O120" i="6"/>
  <c r="O121" i="6"/>
  <c r="O124" i="6"/>
  <c r="O29" i="12"/>
  <c r="O30" i="12"/>
  <c r="O33" i="12"/>
  <c r="O35" i="12"/>
  <c r="O36" i="12"/>
  <c r="O37" i="12"/>
  <c r="O69" i="12"/>
  <c r="O53" i="12"/>
  <c r="O45" i="12"/>
  <c r="O46" i="12"/>
  <c r="O56" i="12"/>
  <c r="O57" i="12"/>
  <c r="O58" i="12"/>
  <c r="O63" i="12"/>
  <c r="O64" i="12"/>
  <c r="O70" i="12"/>
  <c r="O71" i="12"/>
  <c r="O72" i="12"/>
  <c r="O73" i="12"/>
  <c r="O74" i="12"/>
  <c r="O134" i="16"/>
  <c r="N134" i="16"/>
  <c r="M134" i="16"/>
  <c r="L134" i="16"/>
  <c r="K134" i="16"/>
  <c r="J134" i="16"/>
  <c r="I134" i="16"/>
  <c r="H134" i="16"/>
  <c r="G134" i="16"/>
  <c r="F134" i="16"/>
  <c r="E134" i="16"/>
  <c r="D134" i="16"/>
  <c r="B134" i="16"/>
  <c r="A134" i="16"/>
  <c r="D28" i="11"/>
  <c r="D29" i="11"/>
  <c r="D30" i="11"/>
  <c r="D31" i="11"/>
  <c r="D32" i="11"/>
  <c r="D33" i="11"/>
  <c r="E28" i="11"/>
  <c r="E29" i="11"/>
  <c r="E30" i="11"/>
  <c r="E31" i="11"/>
  <c r="E32" i="11"/>
  <c r="E33" i="11"/>
  <c r="E119" i="16"/>
  <c r="E64" i="16"/>
  <c r="E120" i="16"/>
  <c r="E36" i="16"/>
  <c r="E87" i="7"/>
  <c r="E88" i="7"/>
  <c r="E89" i="7"/>
  <c r="E90" i="7"/>
  <c r="E80" i="16"/>
  <c r="E81" i="16"/>
  <c r="E18" i="16"/>
  <c r="E37" i="16"/>
  <c r="E38" i="16"/>
  <c r="F28" i="11"/>
  <c r="F29" i="11"/>
  <c r="F30" i="11"/>
  <c r="F31" i="11"/>
  <c r="F32" i="11"/>
  <c r="F33" i="11"/>
  <c r="F119" i="16"/>
  <c r="F64" i="16"/>
  <c r="F120" i="16"/>
  <c r="F36" i="16"/>
  <c r="F87" i="7"/>
  <c r="F88" i="7"/>
  <c r="F89" i="7"/>
  <c r="F90" i="7"/>
  <c r="F80" i="16"/>
  <c r="F81" i="16"/>
  <c r="F18" i="16"/>
  <c r="F37" i="16"/>
  <c r="F38" i="16"/>
  <c r="G28" i="11"/>
  <c r="G29" i="11"/>
  <c r="G30" i="11"/>
  <c r="G31" i="11"/>
  <c r="G32" i="11"/>
  <c r="G33" i="11"/>
  <c r="G119" i="16"/>
  <c r="G64" i="16"/>
  <c r="G120" i="16"/>
  <c r="G36" i="16"/>
  <c r="G87" i="7"/>
  <c r="G88" i="7"/>
  <c r="G89" i="7"/>
  <c r="G90" i="7"/>
  <c r="G80" i="16"/>
  <c r="G81" i="16"/>
  <c r="G18" i="16"/>
  <c r="G37" i="16"/>
  <c r="G38" i="16"/>
  <c r="H28" i="11"/>
  <c r="H29" i="11"/>
  <c r="H30" i="11"/>
  <c r="H31" i="11"/>
  <c r="H32" i="11"/>
  <c r="H33" i="11"/>
  <c r="H119" i="16"/>
  <c r="H64" i="16"/>
  <c r="H120" i="16"/>
  <c r="H36" i="16"/>
  <c r="H87" i="7"/>
  <c r="H88" i="7"/>
  <c r="H89" i="7"/>
  <c r="H90" i="7"/>
  <c r="H80" i="16"/>
  <c r="H81" i="16"/>
  <c r="H18" i="16"/>
  <c r="H37" i="16"/>
  <c r="H38" i="16"/>
  <c r="I28" i="11"/>
  <c r="I29" i="11"/>
  <c r="I30" i="11"/>
  <c r="I31" i="11"/>
  <c r="I32" i="11"/>
  <c r="I33" i="11"/>
  <c r="I119" i="16"/>
  <c r="I64" i="16"/>
  <c r="I120" i="16"/>
  <c r="I36" i="16"/>
  <c r="I87" i="7"/>
  <c r="I88" i="7"/>
  <c r="I89" i="7"/>
  <c r="I90" i="7"/>
  <c r="I80" i="16"/>
  <c r="I81" i="16"/>
  <c r="I18" i="16"/>
  <c r="I37" i="16"/>
  <c r="I38" i="16"/>
  <c r="J28" i="11"/>
  <c r="J29" i="11"/>
  <c r="J30" i="11"/>
  <c r="J31" i="11"/>
  <c r="J32" i="11"/>
  <c r="J33" i="11"/>
  <c r="J119" i="16"/>
  <c r="J64" i="16"/>
  <c r="J120" i="16"/>
  <c r="J36" i="16"/>
  <c r="J87" i="7"/>
  <c r="J88" i="7"/>
  <c r="J89" i="7"/>
  <c r="J90" i="7"/>
  <c r="J80" i="16"/>
  <c r="J81" i="16"/>
  <c r="J18" i="16"/>
  <c r="J37" i="16"/>
  <c r="J38" i="16"/>
  <c r="K28" i="11"/>
  <c r="K29" i="11"/>
  <c r="K30" i="11"/>
  <c r="K31" i="11"/>
  <c r="K32" i="11"/>
  <c r="K33" i="11"/>
  <c r="K119" i="16"/>
  <c r="K64" i="16"/>
  <c r="K120" i="16"/>
  <c r="K36" i="16"/>
  <c r="K87" i="7"/>
  <c r="K88" i="7"/>
  <c r="K89" i="7"/>
  <c r="K90" i="7"/>
  <c r="K80" i="16"/>
  <c r="K81" i="16"/>
  <c r="K18" i="16"/>
  <c r="K37" i="16"/>
  <c r="K38" i="16"/>
  <c r="L28" i="11"/>
  <c r="L29" i="11"/>
  <c r="L30" i="11"/>
  <c r="L31" i="11"/>
  <c r="L32" i="11"/>
  <c r="L33" i="11"/>
  <c r="L119" i="16"/>
  <c r="L64" i="16"/>
  <c r="L120" i="16"/>
  <c r="L36" i="16"/>
  <c r="L87" i="7"/>
  <c r="L88" i="7"/>
  <c r="L89" i="7"/>
  <c r="L90" i="7"/>
  <c r="L80" i="16"/>
  <c r="L81" i="16"/>
  <c r="L18" i="16"/>
  <c r="L37" i="16"/>
  <c r="L38" i="16"/>
  <c r="M28" i="11"/>
  <c r="M29" i="11"/>
  <c r="M30" i="11"/>
  <c r="M31" i="11"/>
  <c r="M32" i="11"/>
  <c r="M33" i="11"/>
  <c r="M119" i="16"/>
  <c r="M64" i="16"/>
  <c r="M120" i="16"/>
  <c r="M36" i="16"/>
  <c r="M87" i="7"/>
  <c r="M88" i="7"/>
  <c r="M89" i="7"/>
  <c r="M90" i="7"/>
  <c r="M80" i="16"/>
  <c r="M81" i="16"/>
  <c r="M18" i="16"/>
  <c r="M37" i="16"/>
  <c r="M38" i="16"/>
  <c r="N28" i="11"/>
  <c r="N30" i="11"/>
  <c r="N31" i="11"/>
  <c r="N29" i="11"/>
  <c r="N32" i="11"/>
  <c r="N33" i="11"/>
  <c r="N119" i="16"/>
  <c r="N64" i="16"/>
  <c r="N120" i="16"/>
  <c r="N36" i="16"/>
  <c r="N87" i="7"/>
  <c r="N88" i="7"/>
  <c r="N89" i="7"/>
  <c r="N90" i="7"/>
  <c r="N80" i="16"/>
  <c r="N81" i="16"/>
  <c r="N18" i="16"/>
  <c r="N37" i="16"/>
  <c r="N38" i="16"/>
  <c r="O30" i="11"/>
  <c r="O31" i="11"/>
  <c r="O28" i="11"/>
  <c r="O29" i="11"/>
  <c r="O32" i="11"/>
  <c r="O33" i="11"/>
  <c r="O119" i="16"/>
  <c r="O64" i="16"/>
  <c r="O120" i="16"/>
  <c r="O36" i="16"/>
  <c r="O87" i="7"/>
  <c r="O88" i="7"/>
  <c r="O89" i="7"/>
  <c r="O90" i="7"/>
  <c r="O80" i="16"/>
  <c r="O81" i="16"/>
  <c r="O18" i="16"/>
  <c r="O37" i="16"/>
  <c r="O38" i="16"/>
  <c r="D119" i="16"/>
  <c r="D64" i="16"/>
  <c r="D120" i="16"/>
  <c r="D36" i="16"/>
  <c r="D87" i="7"/>
  <c r="D88" i="7"/>
  <c r="D89" i="7"/>
  <c r="D90" i="7"/>
  <c r="D80" i="16"/>
  <c r="D81" i="16"/>
  <c r="D18" i="16"/>
  <c r="D37" i="16"/>
  <c r="D38" i="16"/>
  <c r="D92" i="16"/>
  <c r="D93" i="16"/>
  <c r="D41" i="16"/>
  <c r="C53" i="7"/>
  <c r="C92" i="16"/>
  <c r="D96" i="16"/>
  <c r="C65" i="6"/>
  <c r="C96" i="16"/>
  <c r="D97" i="16"/>
  <c r="D98" i="16"/>
  <c r="D101" i="16"/>
  <c r="D102" i="16"/>
  <c r="D103" i="16"/>
  <c r="D104" i="16"/>
  <c r="D105" i="16"/>
  <c r="D106" i="16"/>
  <c r="D42" i="16"/>
  <c r="D43" i="16"/>
  <c r="D45" i="16"/>
  <c r="D125" i="16"/>
  <c r="D126" i="16"/>
  <c r="D48" i="16"/>
  <c r="D129" i="16"/>
  <c r="E129" i="16"/>
  <c r="D130" i="16"/>
  <c r="D49" i="16"/>
  <c r="D50" i="16"/>
  <c r="D131" i="16"/>
  <c r="D53" i="16"/>
  <c r="D54" i="16"/>
  <c r="D56" i="16"/>
  <c r="D58" i="16"/>
  <c r="E125" i="16"/>
  <c r="E126" i="16"/>
  <c r="E48" i="16"/>
  <c r="F129" i="16"/>
  <c r="E130" i="16"/>
  <c r="E49" i="16"/>
  <c r="E50" i="16"/>
  <c r="F125" i="16"/>
  <c r="F126" i="16"/>
  <c r="F48" i="16"/>
  <c r="G129" i="16"/>
  <c r="F130" i="16"/>
  <c r="F49" i="16"/>
  <c r="F50" i="16"/>
  <c r="G125" i="16"/>
  <c r="G126" i="16"/>
  <c r="G48" i="16"/>
  <c r="H129" i="16"/>
  <c r="G130" i="16"/>
  <c r="G49" i="16"/>
  <c r="G50" i="16"/>
  <c r="H125" i="16"/>
  <c r="H126" i="16"/>
  <c r="H48" i="16"/>
  <c r="I129" i="16"/>
  <c r="H130" i="16"/>
  <c r="H49" i="16"/>
  <c r="H50" i="16"/>
  <c r="I125" i="16"/>
  <c r="I126" i="16"/>
  <c r="I48" i="16"/>
  <c r="J129" i="16"/>
  <c r="I130" i="16"/>
  <c r="I49" i="16"/>
  <c r="I50" i="16"/>
  <c r="J125" i="16"/>
  <c r="J126" i="16"/>
  <c r="J48" i="16"/>
  <c r="K129" i="16"/>
  <c r="J130" i="16"/>
  <c r="J49" i="16"/>
  <c r="J50" i="16"/>
  <c r="K125" i="16"/>
  <c r="K126" i="16"/>
  <c r="K48" i="16"/>
  <c r="L129" i="16"/>
  <c r="K130" i="16"/>
  <c r="K49" i="16"/>
  <c r="K50" i="16"/>
  <c r="L125" i="16"/>
  <c r="L126" i="16"/>
  <c r="L48" i="16"/>
  <c r="M129" i="16"/>
  <c r="L130" i="16"/>
  <c r="L49" i="16"/>
  <c r="L50" i="16"/>
  <c r="M125" i="16"/>
  <c r="M126" i="16"/>
  <c r="M48" i="16"/>
  <c r="N129" i="16"/>
  <c r="M130" i="16"/>
  <c r="M49" i="16"/>
  <c r="M50" i="16"/>
  <c r="N125" i="16"/>
  <c r="N126" i="16"/>
  <c r="N48" i="16"/>
  <c r="O129" i="16"/>
  <c r="N130" i="16"/>
  <c r="N49" i="16"/>
  <c r="N50" i="16"/>
  <c r="O125" i="16"/>
  <c r="O126" i="16"/>
  <c r="O48" i="16"/>
  <c r="O130" i="16"/>
  <c r="O49" i="16"/>
  <c r="O50" i="16"/>
  <c r="E131" i="16"/>
  <c r="F131" i="16"/>
  <c r="G131" i="16"/>
  <c r="H131" i="16"/>
  <c r="I131" i="16"/>
  <c r="J131" i="16"/>
  <c r="K131" i="16"/>
  <c r="L131" i="16"/>
  <c r="M131" i="16"/>
  <c r="N131" i="16"/>
  <c r="O131" i="16"/>
  <c r="B48" i="16"/>
  <c r="A125" i="16"/>
  <c r="A126" i="16"/>
  <c r="A48" i="16"/>
  <c r="A129" i="16"/>
  <c r="A123" i="16"/>
  <c r="A124" i="16"/>
  <c r="O123" i="16"/>
  <c r="O124" i="16"/>
  <c r="N123" i="16"/>
  <c r="N124" i="16"/>
  <c r="M123" i="16"/>
  <c r="M124" i="16"/>
  <c r="L123" i="16"/>
  <c r="L124" i="16"/>
  <c r="K123" i="16"/>
  <c r="K124" i="16"/>
  <c r="J123" i="16"/>
  <c r="J124" i="16"/>
  <c r="I123" i="16"/>
  <c r="I124" i="16"/>
  <c r="H123" i="16"/>
  <c r="H124" i="16"/>
  <c r="G123" i="16"/>
  <c r="G124" i="16"/>
  <c r="F123" i="16"/>
  <c r="F124" i="16"/>
  <c r="E123" i="16"/>
  <c r="E124" i="16"/>
  <c r="D123" i="16"/>
  <c r="D124" i="16"/>
  <c r="B36" i="16"/>
  <c r="D68" i="16"/>
  <c r="D69" i="16"/>
  <c r="D10" i="16"/>
  <c r="D70" i="16"/>
  <c r="D71" i="16"/>
  <c r="D11" i="16"/>
  <c r="D72" i="16"/>
  <c r="D73" i="16"/>
  <c r="D12" i="16"/>
  <c r="D13" i="16"/>
  <c r="D76" i="16"/>
  <c r="D77" i="16"/>
  <c r="D17" i="16"/>
  <c r="D19" i="16"/>
  <c r="D84" i="16"/>
  <c r="D85" i="16"/>
  <c r="D86" i="16"/>
  <c r="D87" i="16"/>
  <c r="D88" i="16"/>
  <c r="D22" i="16"/>
  <c r="D25" i="16"/>
  <c r="D27" i="16"/>
  <c r="E68" i="16"/>
  <c r="E69" i="16"/>
  <c r="E10" i="16"/>
  <c r="E70" i="16"/>
  <c r="E71" i="16"/>
  <c r="E11" i="16"/>
  <c r="E72" i="16"/>
  <c r="E73" i="16"/>
  <c r="E12" i="16"/>
  <c r="E13" i="16"/>
  <c r="E16" i="16"/>
  <c r="E76" i="16"/>
  <c r="E77" i="16"/>
  <c r="E17" i="16"/>
  <c r="E19" i="16"/>
  <c r="E84" i="16"/>
  <c r="E85" i="16"/>
  <c r="E86" i="16"/>
  <c r="E87" i="16"/>
  <c r="E88" i="16"/>
  <c r="E22" i="16"/>
  <c r="E96" i="16"/>
  <c r="E97" i="16"/>
  <c r="E98" i="16"/>
  <c r="E101" i="16"/>
  <c r="E102" i="16"/>
  <c r="E103" i="16"/>
  <c r="E104" i="16"/>
  <c r="E105" i="16"/>
  <c r="E25" i="16"/>
  <c r="E27" i="16"/>
  <c r="D112" i="16"/>
  <c r="D113" i="16"/>
  <c r="D114" i="16"/>
  <c r="D115" i="16"/>
  <c r="D116" i="16"/>
  <c r="E111" i="16"/>
  <c r="E112" i="16"/>
  <c r="E113" i="16"/>
  <c r="E114" i="16"/>
  <c r="E115" i="16"/>
  <c r="E30" i="16"/>
  <c r="E32" i="16"/>
  <c r="F68" i="16"/>
  <c r="F69" i="16"/>
  <c r="F10" i="16"/>
  <c r="F70" i="16"/>
  <c r="F71" i="16"/>
  <c r="F11" i="16"/>
  <c r="F72" i="16"/>
  <c r="F73" i="16"/>
  <c r="F12" i="16"/>
  <c r="F13" i="16"/>
  <c r="F16" i="16"/>
  <c r="F76" i="16"/>
  <c r="F77" i="16"/>
  <c r="F17" i="16"/>
  <c r="F19" i="16"/>
  <c r="F84" i="16"/>
  <c r="F85" i="16"/>
  <c r="F86" i="16"/>
  <c r="F87" i="16"/>
  <c r="F88" i="16"/>
  <c r="F22" i="16"/>
  <c r="F96" i="16"/>
  <c r="F97" i="16"/>
  <c r="F98" i="16"/>
  <c r="F101" i="16"/>
  <c r="F102" i="16"/>
  <c r="F103" i="16"/>
  <c r="F104" i="16"/>
  <c r="F105" i="16"/>
  <c r="F25" i="16"/>
  <c r="F27" i="16"/>
  <c r="E116" i="16"/>
  <c r="F111" i="16"/>
  <c r="F112" i="16"/>
  <c r="F113" i="16"/>
  <c r="F114" i="16"/>
  <c r="F115" i="16"/>
  <c r="F30" i="16"/>
  <c r="F32" i="16"/>
  <c r="G68" i="16"/>
  <c r="G69" i="16"/>
  <c r="G10" i="16"/>
  <c r="G70" i="16"/>
  <c r="G71" i="16"/>
  <c r="G11" i="16"/>
  <c r="G72" i="16"/>
  <c r="G73" i="16"/>
  <c r="G12" i="16"/>
  <c r="G13" i="16"/>
  <c r="G16" i="16"/>
  <c r="G76" i="16"/>
  <c r="G77" i="16"/>
  <c r="G17" i="16"/>
  <c r="G19" i="16"/>
  <c r="G84" i="16"/>
  <c r="G85" i="16"/>
  <c r="G86" i="16"/>
  <c r="G87" i="16"/>
  <c r="G88" i="16"/>
  <c r="G22" i="16"/>
  <c r="G96" i="16"/>
  <c r="G97" i="16"/>
  <c r="G98" i="16"/>
  <c r="G101" i="16"/>
  <c r="G102" i="16"/>
  <c r="G103" i="16"/>
  <c r="G104" i="16"/>
  <c r="G105" i="16"/>
  <c r="G25" i="16"/>
  <c r="G27" i="16"/>
  <c r="F116" i="16"/>
  <c r="G111" i="16"/>
  <c r="G112" i="16"/>
  <c r="G113" i="16"/>
  <c r="G114" i="16"/>
  <c r="G115" i="16"/>
  <c r="G30" i="16"/>
  <c r="G32" i="16"/>
  <c r="H68" i="16"/>
  <c r="H69" i="16"/>
  <c r="H10" i="16"/>
  <c r="H70" i="16"/>
  <c r="H71" i="16"/>
  <c r="H11" i="16"/>
  <c r="H72" i="16"/>
  <c r="H73" i="16"/>
  <c r="H12" i="16"/>
  <c r="H13" i="16"/>
  <c r="H16" i="16"/>
  <c r="H76" i="16"/>
  <c r="H77" i="16"/>
  <c r="H17" i="16"/>
  <c r="H19" i="16"/>
  <c r="H84" i="16"/>
  <c r="H85" i="16"/>
  <c r="H86" i="16"/>
  <c r="H87" i="16"/>
  <c r="H88" i="16"/>
  <c r="H22" i="16"/>
  <c r="H96" i="16"/>
  <c r="H97" i="16"/>
  <c r="H98" i="16"/>
  <c r="H101" i="16"/>
  <c r="H102" i="16"/>
  <c r="H103" i="16"/>
  <c r="H104" i="16"/>
  <c r="H105" i="16"/>
  <c r="H25" i="16"/>
  <c r="H27" i="16"/>
  <c r="G116" i="16"/>
  <c r="H111" i="16"/>
  <c r="H112" i="16"/>
  <c r="H113" i="16"/>
  <c r="H114" i="16"/>
  <c r="H115" i="16"/>
  <c r="H30" i="16"/>
  <c r="H32" i="16"/>
  <c r="I68" i="16"/>
  <c r="I69" i="16"/>
  <c r="I10" i="16"/>
  <c r="I70" i="16"/>
  <c r="I71" i="16"/>
  <c r="I11" i="16"/>
  <c r="I72" i="16"/>
  <c r="I73" i="16"/>
  <c r="I12" i="16"/>
  <c r="I13" i="16"/>
  <c r="I16" i="16"/>
  <c r="I76" i="16"/>
  <c r="I77" i="16"/>
  <c r="I17" i="16"/>
  <c r="I19" i="16"/>
  <c r="I84" i="16"/>
  <c r="I85" i="16"/>
  <c r="I86" i="16"/>
  <c r="I87" i="16"/>
  <c r="I88" i="16"/>
  <c r="I22" i="16"/>
  <c r="I96" i="16"/>
  <c r="I97" i="16"/>
  <c r="I98" i="16"/>
  <c r="I101" i="16"/>
  <c r="I102" i="16"/>
  <c r="I103" i="16"/>
  <c r="I104" i="16"/>
  <c r="I105" i="16"/>
  <c r="I25" i="16"/>
  <c r="I27" i="16"/>
  <c r="H116" i="16"/>
  <c r="I111" i="16"/>
  <c r="I112" i="16"/>
  <c r="I113" i="16"/>
  <c r="I114" i="16"/>
  <c r="I115" i="16"/>
  <c r="I30" i="16"/>
  <c r="I32" i="16"/>
  <c r="J68" i="16"/>
  <c r="J69" i="16"/>
  <c r="J10" i="16"/>
  <c r="J70" i="16"/>
  <c r="J71" i="16"/>
  <c r="J11" i="16"/>
  <c r="J72" i="16"/>
  <c r="J73" i="16"/>
  <c r="J12" i="16"/>
  <c r="J13" i="16"/>
  <c r="J16" i="16"/>
  <c r="J76" i="16"/>
  <c r="J77" i="16"/>
  <c r="J17" i="16"/>
  <c r="J19" i="16"/>
  <c r="J84" i="16"/>
  <c r="J85" i="16"/>
  <c r="J86" i="16"/>
  <c r="J87" i="16"/>
  <c r="J88" i="16"/>
  <c r="J22" i="16"/>
  <c r="J96" i="16"/>
  <c r="J97" i="16"/>
  <c r="J98" i="16"/>
  <c r="J101" i="16"/>
  <c r="J102" i="16"/>
  <c r="J103" i="16"/>
  <c r="J104" i="16"/>
  <c r="J105" i="16"/>
  <c r="J25" i="16"/>
  <c r="J27" i="16"/>
  <c r="I116" i="16"/>
  <c r="J111" i="16"/>
  <c r="J112" i="16"/>
  <c r="J113" i="16"/>
  <c r="J114" i="16"/>
  <c r="J115" i="16"/>
  <c r="J30" i="16"/>
  <c r="J32" i="16"/>
  <c r="K68" i="16"/>
  <c r="K69" i="16"/>
  <c r="K10" i="16"/>
  <c r="K70" i="16"/>
  <c r="K71" i="16"/>
  <c r="K11" i="16"/>
  <c r="K72" i="16"/>
  <c r="K73" i="16"/>
  <c r="K12" i="16"/>
  <c r="K13" i="16"/>
  <c r="K16" i="16"/>
  <c r="K76" i="16"/>
  <c r="K77" i="16"/>
  <c r="K17" i="16"/>
  <c r="K19" i="16"/>
  <c r="K84" i="16"/>
  <c r="K85" i="16"/>
  <c r="K86" i="16"/>
  <c r="K87" i="16"/>
  <c r="K88" i="16"/>
  <c r="K22" i="16"/>
  <c r="K96" i="16"/>
  <c r="K97" i="16"/>
  <c r="K98" i="16"/>
  <c r="K101" i="16"/>
  <c r="K102" i="16"/>
  <c r="K103" i="16"/>
  <c r="K104" i="16"/>
  <c r="K105" i="16"/>
  <c r="K25" i="16"/>
  <c r="K27" i="16"/>
  <c r="J116" i="16"/>
  <c r="K111" i="16"/>
  <c r="K112" i="16"/>
  <c r="K113" i="16"/>
  <c r="K114" i="16"/>
  <c r="K115" i="16"/>
  <c r="K30" i="16"/>
  <c r="K32" i="16"/>
  <c r="L68" i="16"/>
  <c r="L69" i="16"/>
  <c r="L10" i="16"/>
  <c r="L70" i="16"/>
  <c r="L71" i="16"/>
  <c r="L11" i="16"/>
  <c r="L72" i="16"/>
  <c r="L73" i="16"/>
  <c r="L12" i="16"/>
  <c r="L13" i="16"/>
  <c r="L16" i="16"/>
  <c r="L76" i="16"/>
  <c r="L77" i="16"/>
  <c r="L17" i="16"/>
  <c r="L19" i="16"/>
  <c r="L84" i="16"/>
  <c r="L85" i="16"/>
  <c r="L86" i="16"/>
  <c r="L87" i="16"/>
  <c r="L88" i="16"/>
  <c r="L22" i="16"/>
  <c r="L96" i="16"/>
  <c r="L97" i="16"/>
  <c r="L98" i="16"/>
  <c r="L101" i="16"/>
  <c r="L102" i="16"/>
  <c r="L103" i="16"/>
  <c r="L104" i="16"/>
  <c r="L105" i="16"/>
  <c r="L25" i="16"/>
  <c r="L27" i="16"/>
  <c r="K116" i="16"/>
  <c r="L111" i="16"/>
  <c r="L112" i="16"/>
  <c r="L113" i="16"/>
  <c r="L114" i="16"/>
  <c r="L115" i="16"/>
  <c r="L30" i="16"/>
  <c r="L32" i="16"/>
  <c r="M68" i="16"/>
  <c r="M69" i="16"/>
  <c r="M10" i="16"/>
  <c r="M70" i="16"/>
  <c r="M71" i="16"/>
  <c r="M11" i="16"/>
  <c r="M72" i="16"/>
  <c r="M73" i="16"/>
  <c r="M12" i="16"/>
  <c r="M13" i="16"/>
  <c r="M16" i="16"/>
  <c r="M76" i="16"/>
  <c r="M77" i="16"/>
  <c r="M17" i="16"/>
  <c r="M19" i="16"/>
  <c r="M84" i="16"/>
  <c r="M85" i="16"/>
  <c r="M86" i="16"/>
  <c r="M87" i="16"/>
  <c r="M88" i="16"/>
  <c r="M22" i="16"/>
  <c r="M96" i="16"/>
  <c r="M97" i="16"/>
  <c r="M98" i="16"/>
  <c r="M101" i="16"/>
  <c r="M102" i="16"/>
  <c r="M103" i="16"/>
  <c r="M104" i="16"/>
  <c r="M105" i="16"/>
  <c r="M25" i="16"/>
  <c r="M27" i="16"/>
  <c r="L116" i="16"/>
  <c r="M111" i="16"/>
  <c r="M112" i="16"/>
  <c r="M113" i="16"/>
  <c r="M114" i="16"/>
  <c r="M115" i="16"/>
  <c r="M30" i="16"/>
  <c r="M32" i="16"/>
  <c r="N68" i="16"/>
  <c r="N69" i="16"/>
  <c r="N10" i="16"/>
  <c r="N70" i="16"/>
  <c r="N71" i="16"/>
  <c r="N11" i="16"/>
  <c r="N72" i="16"/>
  <c r="N73" i="16"/>
  <c r="N12" i="16"/>
  <c r="N13" i="16"/>
  <c r="N16" i="16"/>
  <c r="N76" i="16"/>
  <c r="N77" i="16"/>
  <c r="N17" i="16"/>
  <c r="N19" i="16"/>
  <c r="N84" i="16"/>
  <c r="N85" i="16"/>
  <c r="N86" i="16"/>
  <c r="N87" i="16"/>
  <c r="N88" i="16"/>
  <c r="N22" i="16"/>
  <c r="N96" i="16"/>
  <c r="N97" i="16"/>
  <c r="N98" i="16"/>
  <c r="N101" i="16"/>
  <c r="N102" i="16"/>
  <c r="N103" i="16"/>
  <c r="N104" i="16"/>
  <c r="N105" i="16"/>
  <c r="N25" i="16"/>
  <c r="N27" i="16"/>
  <c r="M116" i="16"/>
  <c r="N111" i="16"/>
  <c r="N112" i="16"/>
  <c r="N113" i="16"/>
  <c r="N114" i="16"/>
  <c r="N115" i="16"/>
  <c r="N30" i="16"/>
  <c r="N32" i="16"/>
  <c r="O68" i="16"/>
  <c r="O69" i="16"/>
  <c r="O10" i="16"/>
  <c r="O70" i="16"/>
  <c r="O71" i="16"/>
  <c r="O11" i="16"/>
  <c r="O72" i="16"/>
  <c r="O73" i="16"/>
  <c r="O12" i="16"/>
  <c r="O13" i="16"/>
  <c r="O16" i="16"/>
  <c r="O76" i="16"/>
  <c r="O77" i="16"/>
  <c r="O17" i="16"/>
  <c r="O19" i="16"/>
  <c r="O84" i="16"/>
  <c r="O85" i="16"/>
  <c r="O86" i="16"/>
  <c r="O87" i="16"/>
  <c r="O88" i="16"/>
  <c r="O22" i="16"/>
  <c r="O96" i="16"/>
  <c r="O97" i="16"/>
  <c r="O98" i="16"/>
  <c r="O101" i="16"/>
  <c r="O102" i="16"/>
  <c r="O103" i="16"/>
  <c r="O104" i="16"/>
  <c r="O105" i="16"/>
  <c r="O25" i="16"/>
  <c r="O27" i="16"/>
  <c r="N116" i="16"/>
  <c r="O111" i="16"/>
  <c r="O112" i="16"/>
  <c r="O113" i="16"/>
  <c r="O114" i="16"/>
  <c r="O115" i="16"/>
  <c r="O30" i="16"/>
  <c r="O32" i="16"/>
  <c r="D30" i="16"/>
  <c r="D32" i="16"/>
  <c r="A102" i="16"/>
  <c r="A101" i="16"/>
  <c r="E28" i="16"/>
  <c r="F28" i="16"/>
  <c r="G28" i="16"/>
  <c r="H28" i="16"/>
  <c r="I28" i="16"/>
  <c r="J28" i="16"/>
  <c r="K28" i="16"/>
  <c r="L28" i="16"/>
  <c r="M28" i="16"/>
  <c r="D28" i="16"/>
  <c r="C98" i="16"/>
  <c r="E91" i="16"/>
  <c r="E92" i="16"/>
  <c r="E93" i="16"/>
  <c r="D99" i="16"/>
  <c r="E99" i="16"/>
  <c r="E107" i="16"/>
  <c r="F91" i="16"/>
  <c r="F92" i="16"/>
  <c r="F93" i="16"/>
  <c r="F99" i="16"/>
  <c r="F107" i="16"/>
  <c r="G91" i="16"/>
  <c r="G92" i="16"/>
  <c r="G93" i="16"/>
  <c r="G99" i="16"/>
  <c r="G107" i="16"/>
  <c r="H91" i="16"/>
  <c r="H92" i="16"/>
  <c r="H93" i="16"/>
  <c r="H99" i="16"/>
  <c r="H107" i="16"/>
  <c r="I91" i="16"/>
  <c r="I92" i="16"/>
  <c r="I93" i="16"/>
  <c r="I99" i="16"/>
  <c r="I107" i="16"/>
  <c r="J91" i="16"/>
  <c r="J92" i="16"/>
  <c r="J93" i="16"/>
  <c r="J99" i="16"/>
  <c r="J107" i="16"/>
  <c r="K91" i="16"/>
  <c r="K92" i="16"/>
  <c r="K93" i="16"/>
  <c r="K99" i="16"/>
  <c r="K107" i="16"/>
  <c r="L91" i="16"/>
  <c r="L92" i="16"/>
  <c r="L93" i="16"/>
  <c r="L99" i="16"/>
  <c r="L107" i="16"/>
  <c r="M91" i="16"/>
  <c r="M92" i="16"/>
  <c r="M93" i="16"/>
  <c r="M99" i="16"/>
  <c r="M107" i="16"/>
  <c r="N91" i="16"/>
  <c r="N92" i="16"/>
  <c r="N93" i="16"/>
  <c r="N99" i="16"/>
  <c r="N107" i="16"/>
  <c r="O91" i="16"/>
  <c r="O92" i="16"/>
  <c r="O93" i="16"/>
  <c r="O99" i="16"/>
  <c r="O107" i="16"/>
  <c r="D107" i="16"/>
  <c r="C90" i="7"/>
  <c r="A90" i="7"/>
  <c r="C84" i="6"/>
  <c r="F51" i="12"/>
  <c r="H54" i="12"/>
  <c r="H55" i="12"/>
  <c r="I54" i="12"/>
  <c r="I55" i="12"/>
  <c r="J54" i="12"/>
  <c r="J55" i="12"/>
  <c r="L54" i="12"/>
  <c r="L55" i="12"/>
  <c r="C31" i="10"/>
  <c r="C172" i="7"/>
  <c r="C167" i="7"/>
  <c r="C46" i="10"/>
  <c r="C41" i="10"/>
  <c r="C40" i="10"/>
  <c r="A119" i="16"/>
  <c r="C120" i="16"/>
  <c r="O116" i="16"/>
  <c r="C27" i="16"/>
  <c r="C13" i="16"/>
  <c r="C28" i="16"/>
  <c r="B86" i="16"/>
  <c r="B167" i="7"/>
  <c r="B85" i="16"/>
  <c r="B84" i="16"/>
  <c r="C86" i="16"/>
  <c r="C85" i="16"/>
  <c r="C84" i="16"/>
  <c r="A80" i="16"/>
  <c r="A81" i="16"/>
  <c r="C76" i="16"/>
  <c r="B76" i="16"/>
  <c r="A167" i="7"/>
  <c r="A76" i="16"/>
  <c r="A40" i="10"/>
  <c r="A68" i="16"/>
  <c r="A69" i="16"/>
  <c r="B92" i="16"/>
  <c r="A92" i="16"/>
  <c r="M72" i="7"/>
  <c r="N31" i="7"/>
  <c r="N32" i="7"/>
  <c r="N33" i="7"/>
  <c r="N34" i="7"/>
  <c r="N128" i="7"/>
  <c r="N129" i="7"/>
  <c r="N130" i="7"/>
  <c r="N131" i="7"/>
  <c r="N132" i="7"/>
  <c r="N133" i="7"/>
  <c r="N135" i="7"/>
  <c r="N136" i="7"/>
  <c r="N138" i="7"/>
  <c r="N139" i="7"/>
  <c r="N140" i="7"/>
  <c r="N141" i="7"/>
  <c r="N147" i="7"/>
  <c r="N148" i="7"/>
  <c r="N149" i="7"/>
  <c r="N150" i="7"/>
  <c r="N151" i="7"/>
  <c r="N153" i="7"/>
  <c r="N154" i="7"/>
  <c r="N156" i="7"/>
  <c r="N157" i="7"/>
  <c r="N159" i="7"/>
  <c r="N160" i="7"/>
  <c r="N161" i="7"/>
  <c r="N30" i="10"/>
  <c r="B22" i="16"/>
  <c r="A88" i="16"/>
  <c r="A22" i="16"/>
  <c r="C88" i="16"/>
  <c r="B18" i="16"/>
  <c r="A18" i="16"/>
  <c r="B17" i="16"/>
  <c r="A17" i="16"/>
  <c r="C77" i="16"/>
  <c r="C11" i="16"/>
  <c r="C12" i="16"/>
  <c r="B11" i="16"/>
  <c r="B12" i="16"/>
  <c r="A72" i="16"/>
  <c r="A73" i="16"/>
  <c r="A12" i="16"/>
  <c r="A70" i="16"/>
  <c r="A71" i="16"/>
  <c r="A11" i="16"/>
  <c r="C73" i="16"/>
  <c r="C71" i="16"/>
  <c r="C10" i="16"/>
  <c r="B10" i="16"/>
  <c r="A10" i="16"/>
  <c r="C69" i="16"/>
  <c r="O65" i="16"/>
  <c r="N65" i="16"/>
  <c r="M65" i="16"/>
  <c r="L65" i="16"/>
  <c r="K65" i="16"/>
  <c r="J65" i="16"/>
  <c r="I65" i="16"/>
  <c r="H65" i="16"/>
  <c r="G65" i="16"/>
  <c r="F65" i="16"/>
  <c r="E65" i="16"/>
  <c r="D65" i="16"/>
  <c r="A64" i="16"/>
  <c r="A65" i="16"/>
  <c r="M176" i="7"/>
  <c r="B129" i="16"/>
  <c r="B119" i="16"/>
  <c r="C35" i="7"/>
  <c r="C29" i="11"/>
  <c r="B114" i="16"/>
  <c r="B112" i="16"/>
  <c r="E106" i="16"/>
  <c r="F106" i="16"/>
  <c r="G106" i="16"/>
  <c r="H106" i="16"/>
  <c r="I106" i="16"/>
  <c r="J106" i="16"/>
  <c r="K106" i="16"/>
  <c r="L106" i="16"/>
  <c r="M106" i="16"/>
  <c r="N106" i="16"/>
  <c r="O106" i="16"/>
  <c r="C105" i="16"/>
  <c r="C97" i="16"/>
  <c r="B96" i="16"/>
  <c r="A96" i="16"/>
  <c r="B29" i="11"/>
  <c r="A29" i="11"/>
  <c r="B80" i="16"/>
  <c r="C87" i="16"/>
  <c r="A31" i="10"/>
  <c r="A86" i="16"/>
  <c r="A85" i="16"/>
  <c r="A172" i="7"/>
  <c r="A84" i="16"/>
  <c r="C68" i="16"/>
  <c r="B40" i="10"/>
  <c r="B68" i="16"/>
  <c r="O41" i="16"/>
  <c r="O42" i="16"/>
  <c r="O43" i="16"/>
  <c r="O45" i="16"/>
  <c r="O53" i="16"/>
  <c r="O54" i="16"/>
  <c r="O56" i="16"/>
  <c r="O58" i="16"/>
  <c r="N41" i="16"/>
  <c r="N42" i="16"/>
  <c r="N43" i="16"/>
  <c r="N45" i="16"/>
  <c r="N53" i="16"/>
  <c r="N54" i="16"/>
  <c r="N56" i="16"/>
  <c r="N58" i="16"/>
  <c r="M41" i="16"/>
  <c r="M42" i="16"/>
  <c r="M43" i="16"/>
  <c r="M45" i="16"/>
  <c r="M53" i="16"/>
  <c r="M54" i="16"/>
  <c r="M56" i="16"/>
  <c r="M58" i="16"/>
  <c r="L41" i="16"/>
  <c r="L42" i="16"/>
  <c r="L43" i="16"/>
  <c r="L45" i="16"/>
  <c r="L53" i="16"/>
  <c r="L54" i="16"/>
  <c r="L56" i="16"/>
  <c r="L58" i="16"/>
  <c r="K41" i="16"/>
  <c r="K42" i="16"/>
  <c r="K43" i="16"/>
  <c r="K45" i="16"/>
  <c r="K53" i="16"/>
  <c r="K54" i="16"/>
  <c r="K56" i="16"/>
  <c r="K58" i="16"/>
  <c r="J41" i="16"/>
  <c r="J42" i="16"/>
  <c r="J43" i="16"/>
  <c r="J45" i="16"/>
  <c r="J53" i="16"/>
  <c r="J54" i="16"/>
  <c r="J56" i="16"/>
  <c r="J58" i="16"/>
  <c r="I41" i="16"/>
  <c r="I42" i="16"/>
  <c r="I43" i="16"/>
  <c r="I45" i="16"/>
  <c r="I53" i="16"/>
  <c r="I54" i="16"/>
  <c r="I56" i="16"/>
  <c r="I58" i="16"/>
  <c r="H41" i="16"/>
  <c r="H42" i="16"/>
  <c r="H43" i="16"/>
  <c r="H45" i="16"/>
  <c r="H53" i="16"/>
  <c r="H54" i="16"/>
  <c r="H56" i="16"/>
  <c r="H58" i="16"/>
  <c r="G41" i="16"/>
  <c r="G42" i="16"/>
  <c r="G43" i="16"/>
  <c r="G45" i="16"/>
  <c r="G53" i="16"/>
  <c r="G54" i="16"/>
  <c r="G56" i="16"/>
  <c r="G58" i="16"/>
  <c r="F41" i="16"/>
  <c r="F42" i="16"/>
  <c r="F43" i="16"/>
  <c r="F45" i="16"/>
  <c r="F53" i="16"/>
  <c r="F54" i="16"/>
  <c r="F56" i="16"/>
  <c r="F58" i="16"/>
  <c r="E41" i="16"/>
  <c r="E42" i="16"/>
  <c r="E43" i="16"/>
  <c r="E45" i="16"/>
  <c r="E53" i="16"/>
  <c r="E54" i="16"/>
  <c r="E56" i="16"/>
  <c r="E58" i="16"/>
  <c r="B53" i="16"/>
  <c r="A53" i="16"/>
  <c r="B49" i="16"/>
  <c r="A49" i="16"/>
  <c r="B125" i="16"/>
  <c r="B43" i="16"/>
  <c r="B42" i="16"/>
  <c r="A42" i="16"/>
  <c r="B41" i="16"/>
  <c r="A41" i="16"/>
  <c r="B37" i="16"/>
  <c r="A37" i="16"/>
  <c r="B123" i="16"/>
  <c r="B30" i="16"/>
  <c r="A30" i="16"/>
  <c r="C25" i="16"/>
  <c r="B25" i="16"/>
  <c r="A25" i="16"/>
  <c r="C22" i="16"/>
  <c r="C19" i="16"/>
  <c r="C17" i="16"/>
  <c r="C72" i="16"/>
  <c r="B72" i="16"/>
  <c r="C70" i="16"/>
  <c r="B70" i="16"/>
  <c r="E52" i="6"/>
  <c r="F52" i="6"/>
  <c r="G52" i="6"/>
  <c r="H52" i="6"/>
  <c r="I52" i="6"/>
  <c r="J52" i="6"/>
  <c r="K52" i="6"/>
  <c r="L52" i="6"/>
  <c r="M52" i="6"/>
  <c r="N52" i="6"/>
  <c r="O52" i="6"/>
  <c r="O4" i="16"/>
  <c r="N4" i="16"/>
  <c r="M4" i="16"/>
  <c r="L4" i="16"/>
  <c r="K4" i="16"/>
  <c r="J4" i="16"/>
  <c r="I4" i="16"/>
  <c r="H4" i="16"/>
  <c r="G4" i="16"/>
  <c r="F4" i="16"/>
  <c r="E4" i="16"/>
  <c r="D4" i="16"/>
  <c r="C4" i="16"/>
  <c r="B4" i="16"/>
  <c r="A4" i="16"/>
  <c r="A1" i="16"/>
  <c r="D80" i="12"/>
  <c r="D81" i="12"/>
  <c r="D82" i="12"/>
  <c r="D84" i="12"/>
  <c r="D85" i="12"/>
  <c r="D88" i="12"/>
  <c r="D90" i="12"/>
  <c r="E87" i="12"/>
  <c r="E80" i="12"/>
  <c r="E81" i="12"/>
  <c r="E82" i="12"/>
  <c r="E84" i="12"/>
  <c r="E85" i="12"/>
  <c r="E88" i="12"/>
  <c r="E90" i="12"/>
  <c r="F87" i="12"/>
  <c r="F80" i="12"/>
  <c r="F81" i="12"/>
  <c r="F82" i="12"/>
  <c r="F84" i="12"/>
  <c r="F85" i="12"/>
  <c r="F88" i="12"/>
  <c r="F89" i="12"/>
  <c r="F92" i="12"/>
  <c r="F93" i="12"/>
  <c r="F95" i="12"/>
  <c r="F96" i="12"/>
  <c r="F97" i="12"/>
  <c r="F100" i="12"/>
  <c r="B71" i="12"/>
  <c r="B69" i="12"/>
  <c r="A69" i="12"/>
  <c r="A45" i="12"/>
  <c r="A71" i="12"/>
  <c r="O55" i="12"/>
  <c r="N55" i="12"/>
  <c r="M55" i="12"/>
  <c r="K55" i="12"/>
  <c r="C71" i="12"/>
  <c r="B54" i="10"/>
  <c r="A41" i="10"/>
  <c r="A54" i="10"/>
  <c r="C54" i="10"/>
  <c r="N29" i="10"/>
  <c r="H194" i="7"/>
  <c r="H199" i="7"/>
  <c r="I122" i="7"/>
  <c r="C57" i="7"/>
  <c r="C58" i="7"/>
  <c r="O56" i="7"/>
  <c r="C55" i="7"/>
  <c r="O34" i="7"/>
  <c r="G44" i="12"/>
  <c r="B106" i="12"/>
  <c r="B105" i="12"/>
  <c r="A79" i="10"/>
  <c r="A105" i="12"/>
  <c r="O92" i="12"/>
  <c r="N92" i="12"/>
  <c r="M92" i="12"/>
  <c r="L92" i="12"/>
  <c r="K92" i="12"/>
  <c r="J92" i="12"/>
  <c r="I92" i="12"/>
  <c r="H92" i="12"/>
  <c r="G92" i="12"/>
  <c r="E92" i="12"/>
  <c r="D92" i="12"/>
  <c r="B92" i="12"/>
  <c r="A92" i="12"/>
  <c r="O67" i="6"/>
  <c r="N176" i="7"/>
  <c r="O176" i="7"/>
  <c r="H44" i="12"/>
  <c r="I44" i="12"/>
  <c r="J44" i="12"/>
  <c r="K44" i="12"/>
  <c r="L44" i="12"/>
  <c r="M44" i="12"/>
  <c r="N44" i="12"/>
  <c r="O44" i="12"/>
  <c r="B44" i="10"/>
  <c r="B45" i="10"/>
  <c r="A44" i="10"/>
  <c r="B30" i="10"/>
  <c r="A30" i="10"/>
  <c r="B217" i="7"/>
  <c r="A217" i="7"/>
  <c r="D203" i="7"/>
  <c r="E198" i="7"/>
  <c r="F198" i="7"/>
  <c r="G198" i="7"/>
  <c r="H198" i="7"/>
  <c r="I198" i="7"/>
  <c r="J198" i="7"/>
  <c r="K198" i="7"/>
  <c r="L198" i="7"/>
  <c r="M198" i="7"/>
  <c r="N198" i="7"/>
  <c r="O198" i="7"/>
  <c r="D198" i="7"/>
  <c r="E193" i="7"/>
  <c r="F193" i="7"/>
  <c r="G193" i="7"/>
  <c r="H193" i="7"/>
  <c r="I193" i="7"/>
  <c r="J193" i="7"/>
  <c r="K193" i="7"/>
  <c r="L193" i="7"/>
  <c r="M193" i="7"/>
  <c r="N193" i="7"/>
  <c r="O193" i="7"/>
  <c r="D193" i="7"/>
  <c r="B213" i="7"/>
  <c r="B209" i="7"/>
  <c r="B208" i="7"/>
  <c r="C203" i="7"/>
  <c r="B203" i="7"/>
  <c r="A203" i="7"/>
  <c r="C198" i="7"/>
  <c r="B198" i="7"/>
  <c r="A198" i="7"/>
  <c r="C193" i="7"/>
  <c r="B193" i="7"/>
  <c r="A193" i="7"/>
  <c r="A164" i="7"/>
  <c r="A213" i="7"/>
  <c r="B168" i="7"/>
  <c r="B169" i="7"/>
  <c r="B170" i="7"/>
  <c r="B171" i="7"/>
  <c r="A169" i="7"/>
  <c r="A168" i="7"/>
  <c r="O148" i="7"/>
  <c r="O149" i="7"/>
  <c r="O151" i="7"/>
  <c r="O153" i="7"/>
  <c r="O154" i="7"/>
  <c r="O159" i="7"/>
  <c r="O160" i="7"/>
  <c r="O161" i="7"/>
  <c r="O132" i="7"/>
  <c r="O133" i="7"/>
  <c r="O135" i="7"/>
  <c r="O136" i="7"/>
  <c r="O138" i="7"/>
  <c r="O139" i="7"/>
  <c r="O140" i="7"/>
  <c r="O141" i="7"/>
  <c r="O131" i="7"/>
  <c r="O130" i="7"/>
  <c r="O129" i="7"/>
  <c r="O128" i="7"/>
  <c r="O147" i="7"/>
  <c r="O30" i="10"/>
  <c r="A122" i="7"/>
  <c r="A209" i="7"/>
  <c r="B118" i="7"/>
  <c r="A118" i="7"/>
  <c r="B112" i="7"/>
  <c r="E194" i="7"/>
  <c r="E199" i="7"/>
  <c r="D194" i="7"/>
  <c r="D199" i="7"/>
  <c r="O157" i="7"/>
  <c r="O156" i="7"/>
  <c r="C135" i="7"/>
  <c r="C128" i="7"/>
  <c r="C130" i="7"/>
  <c r="O60" i="7"/>
  <c r="N60" i="7"/>
  <c r="M60" i="7"/>
  <c r="L60" i="7"/>
  <c r="K60" i="7"/>
  <c r="J60" i="7"/>
  <c r="I60" i="7"/>
  <c r="H60" i="7"/>
  <c r="G60" i="7"/>
  <c r="F60" i="7"/>
  <c r="E60" i="7"/>
  <c r="D60" i="7"/>
  <c r="C60" i="7"/>
  <c r="B60" i="7"/>
  <c r="A60" i="7"/>
  <c r="O32" i="7"/>
  <c r="O33" i="7"/>
  <c r="B96" i="6"/>
  <c r="B89" i="6"/>
  <c r="A96" i="6"/>
  <c r="F194" i="7"/>
  <c r="D204" i="7"/>
  <c r="F199" i="7"/>
  <c r="E195" i="7"/>
  <c r="D195" i="7"/>
  <c r="C157" i="7"/>
  <c r="C156" i="7"/>
  <c r="O31" i="7"/>
  <c r="N72" i="7"/>
  <c r="O72" i="7"/>
  <c r="D50" i="11"/>
  <c r="E49" i="11"/>
  <c r="F49" i="11"/>
  <c r="G49" i="11"/>
  <c r="H49" i="11"/>
  <c r="I49" i="11"/>
  <c r="J49" i="11"/>
  <c r="K49" i="11"/>
  <c r="L49" i="11"/>
  <c r="M49" i="11"/>
  <c r="N49" i="11"/>
  <c r="O49" i="11"/>
  <c r="B106" i="6"/>
  <c r="A28" i="11"/>
  <c r="B28" i="11"/>
  <c r="A46" i="10"/>
  <c r="B107" i="6"/>
  <c r="A107" i="6"/>
  <c r="A106" i="6"/>
  <c r="B105" i="6"/>
  <c r="B30" i="11"/>
  <c r="B31" i="11"/>
  <c r="A31" i="11"/>
  <c r="A30" i="11"/>
  <c r="D96" i="12"/>
  <c r="A89" i="6"/>
  <c r="D86" i="6"/>
  <c r="C86" i="6"/>
  <c r="B86" i="6"/>
  <c r="A86" i="6"/>
  <c r="A100" i="12"/>
  <c r="A102" i="12"/>
  <c r="A101" i="12"/>
  <c r="A96" i="12"/>
  <c r="A81" i="12"/>
  <c r="B95" i="12"/>
  <c r="A56" i="10"/>
  <c r="A95" i="12"/>
  <c r="B70" i="12"/>
  <c r="B90" i="12"/>
  <c r="B89" i="12"/>
  <c r="B88" i="12"/>
  <c r="B84" i="12"/>
  <c r="A84" i="12"/>
  <c r="B80" i="12"/>
  <c r="A80" i="12"/>
  <c r="B72" i="12"/>
  <c r="A72" i="12"/>
  <c r="A70" i="12"/>
  <c r="B67" i="10"/>
  <c r="B66" i="10"/>
  <c r="B25" i="10"/>
  <c r="A25" i="10"/>
  <c r="A162" i="7"/>
  <c r="A171" i="7"/>
  <c r="A170" i="7"/>
  <c r="A32" i="12"/>
  <c r="A31" i="12"/>
  <c r="A30" i="12"/>
  <c r="B32" i="12"/>
  <c r="B31" i="12"/>
  <c r="B30" i="12"/>
  <c r="B29" i="12"/>
  <c r="A29" i="12"/>
  <c r="B26" i="12"/>
  <c r="A26" i="12"/>
  <c r="D23" i="12"/>
  <c r="C23" i="12"/>
  <c r="B23" i="12"/>
  <c r="A23" i="12"/>
  <c r="A1" i="12"/>
  <c r="B68" i="10"/>
  <c r="A68" i="10"/>
  <c r="D55" i="11"/>
  <c r="C55" i="11"/>
  <c r="B55" i="11"/>
  <c r="A55" i="11"/>
  <c r="B25" i="11"/>
  <c r="A25" i="11"/>
  <c r="D22" i="11"/>
  <c r="C22" i="11"/>
  <c r="B22" i="11"/>
  <c r="A22" i="11"/>
  <c r="A1" i="11"/>
  <c r="B28" i="7"/>
  <c r="A28" i="7"/>
  <c r="D25" i="7"/>
  <c r="C25" i="7"/>
  <c r="B25" i="7"/>
  <c r="A25" i="7"/>
  <c r="B53" i="10"/>
  <c r="A53" i="10"/>
  <c r="B65" i="10"/>
  <c r="B63" i="10"/>
  <c r="A63" i="10"/>
  <c r="D19" i="10"/>
  <c r="D83" i="10"/>
  <c r="C19" i="10"/>
  <c r="C83" i="10"/>
  <c r="B19" i="10"/>
  <c r="B83" i="10"/>
  <c r="A19" i="10"/>
  <c r="A83" i="10"/>
  <c r="A1" i="10"/>
  <c r="B68" i="7"/>
  <c r="B67" i="7"/>
  <c r="B66" i="7"/>
  <c r="B65" i="7"/>
  <c r="A68" i="7"/>
  <c r="A67" i="7"/>
  <c r="A66" i="7"/>
  <c r="A65" i="7"/>
  <c r="E28" i="5"/>
  <c r="B28" i="5"/>
  <c r="A28" i="5"/>
  <c r="A1" i="7"/>
  <c r="D126" i="6"/>
  <c r="C126" i="6"/>
  <c r="A126" i="6"/>
  <c r="A22" i="5"/>
  <c r="A33" i="5"/>
  <c r="A1" i="6"/>
  <c r="D28" i="5"/>
  <c r="A45" i="10"/>
  <c r="A32" i="5"/>
  <c r="E50" i="11"/>
  <c r="F50" i="11"/>
  <c r="G50" i="11"/>
  <c r="H50" i="11"/>
  <c r="I50" i="11"/>
  <c r="A208" i="7"/>
  <c r="D101" i="12"/>
  <c r="A66" i="10"/>
  <c r="E203" i="7"/>
  <c r="E204" i="7"/>
  <c r="G199" i="7"/>
  <c r="G194" i="7"/>
  <c r="A57" i="11"/>
  <c r="C31" i="7"/>
  <c r="A56" i="11"/>
  <c r="C159" i="7"/>
  <c r="C129" i="7"/>
  <c r="A65" i="10"/>
  <c r="C160" i="7"/>
  <c r="C161" i="7"/>
  <c r="C141" i="7"/>
  <c r="C140" i="7"/>
  <c r="C133" i="7"/>
  <c r="C136" i="7"/>
  <c r="C138" i="7"/>
  <c r="C139" i="7"/>
  <c r="C131" i="7"/>
  <c r="E19" i="10"/>
  <c r="E83" i="10"/>
  <c r="E55" i="11"/>
  <c r="A58" i="11"/>
  <c r="A67" i="10"/>
  <c r="J28" i="5"/>
  <c r="H28" i="5"/>
  <c r="F28" i="5"/>
  <c r="G28" i="5"/>
  <c r="K28" i="5"/>
  <c r="E25" i="7"/>
  <c r="E23" i="12"/>
  <c r="E86" i="6"/>
  <c r="E126" i="6"/>
  <c r="E22" i="11"/>
  <c r="L28" i="5"/>
  <c r="C62" i="6"/>
  <c r="C28" i="5"/>
  <c r="M28" i="5"/>
  <c r="I28" i="5"/>
  <c r="A105" i="6"/>
  <c r="C64" i="6"/>
  <c r="E25" i="11"/>
  <c r="C63" i="6"/>
  <c r="D26" i="12"/>
  <c r="D25" i="11"/>
  <c r="G126" i="6"/>
  <c r="F55" i="11"/>
  <c r="F25" i="7"/>
  <c r="F22" i="11"/>
  <c r="F126" i="6"/>
  <c r="C132" i="7"/>
  <c r="F19" i="10"/>
  <c r="F83" i="10"/>
  <c r="F23" i="12"/>
  <c r="F86" i="6"/>
  <c r="J50" i="11"/>
  <c r="K50" i="11"/>
  <c r="L50" i="11"/>
  <c r="M50" i="11"/>
  <c r="N50" i="11"/>
  <c r="O50" i="11"/>
  <c r="E26" i="12"/>
  <c r="D200" i="7"/>
  <c r="D217" i="7"/>
  <c r="E217" i="7"/>
  <c r="E96" i="12"/>
  <c r="E101" i="12"/>
  <c r="F203" i="7"/>
  <c r="F204" i="7"/>
  <c r="F195" i="7"/>
  <c r="C148" i="7"/>
  <c r="C151" i="7"/>
  <c r="C154" i="7"/>
  <c r="C149" i="7"/>
  <c r="C153" i="7"/>
  <c r="C147" i="7"/>
  <c r="C30" i="10"/>
  <c r="C65" i="7"/>
  <c r="H67" i="6"/>
  <c r="D67" i="6"/>
  <c r="M67" i="6"/>
  <c r="N67" i="6"/>
  <c r="L67" i="6"/>
  <c r="M25" i="11"/>
  <c r="G25" i="11"/>
  <c r="G67" i="6"/>
  <c r="K67" i="6"/>
  <c r="J67" i="6"/>
  <c r="I67" i="6"/>
  <c r="F67" i="6"/>
  <c r="M26" i="12"/>
  <c r="E67" i="6"/>
  <c r="G26" i="12"/>
  <c r="G25" i="7"/>
  <c r="C67" i="7"/>
  <c r="F26" i="12"/>
  <c r="F25" i="11"/>
  <c r="C66" i="7"/>
  <c r="G22" i="11"/>
  <c r="G55" i="11"/>
  <c r="G19" i="10"/>
  <c r="G83" i="10"/>
  <c r="G86" i="6"/>
  <c r="G23" i="12"/>
  <c r="K25" i="11"/>
  <c r="K26" i="12"/>
  <c r="O25" i="11"/>
  <c r="O26" i="12"/>
  <c r="L26" i="12"/>
  <c r="L25" i="11"/>
  <c r="J26" i="12"/>
  <c r="J25" i="11"/>
  <c r="F101" i="12"/>
  <c r="H26" i="12"/>
  <c r="C118" i="7"/>
  <c r="H25" i="11"/>
  <c r="I26" i="12"/>
  <c r="I25" i="11"/>
  <c r="N26" i="12"/>
  <c r="N25" i="11"/>
  <c r="D205" i="7"/>
  <c r="E200" i="7"/>
  <c r="C89" i="7"/>
  <c r="E164" i="7"/>
  <c r="E213" i="7"/>
  <c r="G217" i="7"/>
  <c r="H217" i="7"/>
  <c r="K217" i="7"/>
  <c r="I217" i="7"/>
  <c r="N217" i="7"/>
  <c r="L217" i="7"/>
  <c r="F217" i="7"/>
  <c r="J217" i="7"/>
  <c r="M217" i="7"/>
  <c r="E208" i="7"/>
  <c r="C208" i="7"/>
  <c r="D208" i="7"/>
  <c r="G203" i="7"/>
  <c r="F205" i="7"/>
  <c r="O56" i="11"/>
  <c r="O217" i="7"/>
  <c r="I194" i="7"/>
  <c r="G204" i="7"/>
  <c r="G205" i="7"/>
  <c r="I199" i="7"/>
  <c r="G195" i="7"/>
  <c r="D164" i="7"/>
  <c r="D213" i="7"/>
  <c r="C76" i="7"/>
  <c r="C79" i="7"/>
  <c r="C73" i="7"/>
  <c r="C96" i="6"/>
  <c r="C89" i="6"/>
  <c r="H25" i="7"/>
  <c r="H19" i="10"/>
  <c r="H83" i="10"/>
  <c r="H23" i="12"/>
  <c r="H22" i="11"/>
  <c r="H86" i="6"/>
  <c r="H126" i="6"/>
  <c r="H55" i="11"/>
  <c r="C91" i="6"/>
  <c r="C25" i="10"/>
  <c r="C25" i="11"/>
  <c r="C28" i="7"/>
  <c r="C26" i="12"/>
  <c r="C68" i="7"/>
  <c r="G101" i="12"/>
  <c r="G96" i="12"/>
  <c r="G81" i="12"/>
  <c r="C88" i="7"/>
  <c r="G164" i="7"/>
  <c r="G213" i="7"/>
  <c r="F208" i="7"/>
  <c r="G208" i="7"/>
  <c r="H203" i="7"/>
  <c r="J199" i="7"/>
  <c r="J194" i="7"/>
  <c r="H204" i="7"/>
  <c r="H200" i="7"/>
  <c r="I200" i="7"/>
  <c r="H195" i="7"/>
  <c r="J164" i="7"/>
  <c r="J213" i="7"/>
  <c r="O164" i="7"/>
  <c r="O213" i="7"/>
  <c r="F164" i="7"/>
  <c r="F213" i="7"/>
  <c r="K164" i="7"/>
  <c r="K213" i="7"/>
  <c r="H164" i="7"/>
  <c r="H213" i="7"/>
  <c r="I164" i="7"/>
  <c r="I213" i="7"/>
  <c r="C83" i="7"/>
  <c r="C82" i="7"/>
  <c r="C98" i="6"/>
  <c r="I19" i="10"/>
  <c r="I83" i="10"/>
  <c r="I22" i="11"/>
  <c r="I126" i="6"/>
  <c r="I55" i="11"/>
  <c r="I86" i="6"/>
  <c r="I25" i="7"/>
  <c r="I23" i="12"/>
  <c r="C106" i="6"/>
  <c r="H96" i="12"/>
  <c r="H81" i="12"/>
  <c r="H101" i="12"/>
  <c r="C142" i="7"/>
  <c r="C84" i="7"/>
  <c r="C112" i="7"/>
  <c r="C87" i="7"/>
  <c r="H205" i="7"/>
  <c r="H208" i="7"/>
  <c r="I203" i="7"/>
  <c r="I204" i="7"/>
  <c r="K194" i="7"/>
  <c r="K199" i="7"/>
  <c r="E205" i="7"/>
  <c r="J200" i="7"/>
  <c r="I195" i="7"/>
  <c r="G200" i="7"/>
  <c r="F200" i="7"/>
  <c r="D122" i="7"/>
  <c r="D209" i="7"/>
  <c r="D210" i="7"/>
  <c r="D214" i="7"/>
  <c r="D218" i="7"/>
  <c r="L56" i="11"/>
  <c r="C33" i="7"/>
  <c r="J55" i="11"/>
  <c r="J25" i="7"/>
  <c r="J23" i="12"/>
  <c r="J86" i="6"/>
  <c r="J126" i="6"/>
  <c r="J19" i="10"/>
  <c r="J83" i="10"/>
  <c r="J22" i="11"/>
  <c r="D95" i="12"/>
  <c r="D97" i="12"/>
  <c r="I101" i="12"/>
  <c r="I81" i="12"/>
  <c r="I96" i="12"/>
  <c r="C32" i="7"/>
  <c r="C34" i="7"/>
  <c r="C170" i="7"/>
  <c r="D56" i="11"/>
  <c r="C85" i="7"/>
  <c r="L164" i="7"/>
  <c r="L213" i="7"/>
  <c r="I205" i="7"/>
  <c r="I208" i="7"/>
  <c r="J203" i="7"/>
  <c r="J204" i="7"/>
  <c r="L199" i="7"/>
  <c r="L194" i="7"/>
  <c r="K200" i="7"/>
  <c r="J195" i="7"/>
  <c r="G122" i="7"/>
  <c r="G209" i="7"/>
  <c r="G210" i="7"/>
  <c r="G214" i="7"/>
  <c r="C217" i="7"/>
  <c r="F122" i="7"/>
  <c r="F209" i="7"/>
  <c r="F210" i="7"/>
  <c r="F214" i="7"/>
  <c r="F218" i="7"/>
  <c r="H122" i="7"/>
  <c r="H209" i="7"/>
  <c r="H210" i="7"/>
  <c r="H214" i="7"/>
  <c r="H218" i="7"/>
  <c r="I209" i="7"/>
  <c r="I210" i="7"/>
  <c r="I214" i="7"/>
  <c r="I218" i="7"/>
  <c r="E122" i="7"/>
  <c r="E209" i="7"/>
  <c r="C120" i="7"/>
  <c r="E95" i="12"/>
  <c r="E97" i="12"/>
  <c r="K86" i="6"/>
  <c r="K126" i="6"/>
  <c r="K23" i="12"/>
  <c r="K22" i="11"/>
  <c r="K55" i="11"/>
  <c r="K25" i="7"/>
  <c r="K19" i="10"/>
  <c r="K83" i="10"/>
  <c r="C44" i="10"/>
  <c r="E56" i="11"/>
  <c r="M56" i="11"/>
  <c r="F56" i="11"/>
  <c r="J101" i="12"/>
  <c r="J81" i="12"/>
  <c r="J96" i="12"/>
  <c r="J205" i="7"/>
  <c r="J208" i="7"/>
  <c r="K203" i="7"/>
  <c r="H221" i="7"/>
  <c r="G218" i="7"/>
  <c r="M199" i="7"/>
  <c r="M194" i="7"/>
  <c r="K204" i="7"/>
  <c r="E210" i="7"/>
  <c r="L200" i="7"/>
  <c r="K195" i="7"/>
  <c r="F221" i="7"/>
  <c r="M164" i="7"/>
  <c r="M213" i="7"/>
  <c r="O150" i="7"/>
  <c r="L126" i="6"/>
  <c r="L22" i="11"/>
  <c r="L86" i="6"/>
  <c r="L23" i="12"/>
  <c r="L19" i="10"/>
  <c r="L83" i="10"/>
  <c r="L25" i="7"/>
  <c r="L55" i="11"/>
  <c r="I56" i="11"/>
  <c r="K56" i="11"/>
  <c r="G56" i="11"/>
  <c r="N56" i="11"/>
  <c r="H56" i="11"/>
  <c r="C30" i="12"/>
  <c r="J56" i="11"/>
  <c r="K101" i="12"/>
  <c r="K81" i="12"/>
  <c r="K96" i="12"/>
  <c r="K205" i="7"/>
  <c r="N164" i="7"/>
  <c r="N213" i="7"/>
  <c r="G95" i="12"/>
  <c r="G97" i="12"/>
  <c r="K208" i="7"/>
  <c r="L203" i="7"/>
  <c r="D221" i="7"/>
  <c r="I221" i="7"/>
  <c r="N194" i="7"/>
  <c r="C213" i="7"/>
  <c r="E214" i="7"/>
  <c r="E218" i="7"/>
  <c r="L204" i="7"/>
  <c r="L205" i="7"/>
  <c r="J122" i="7"/>
  <c r="K122" i="7"/>
  <c r="K209" i="7"/>
  <c r="N199" i="7"/>
  <c r="M200" i="7"/>
  <c r="L195" i="7"/>
  <c r="E221" i="7"/>
  <c r="C162" i="7"/>
  <c r="C150" i="7"/>
  <c r="M126" i="6"/>
  <c r="M25" i="7"/>
  <c r="M55" i="11"/>
  <c r="M23" i="12"/>
  <c r="M86" i="6"/>
  <c r="M19" i="10"/>
  <c r="M83" i="10"/>
  <c r="M22" i="11"/>
  <c r="L101" i="12"/>
  <c r="L81" i="12"/>
  <c r="L96" i="12"/>
  <c r="K210" i="7"/>
  <c r="K214" i="7"/>
  <c r="K218" i="7"/>
  <c r="M203" i="7"/>
  <c r="J209" i="7"/>
  <c r="M204" i="7"/>
  <c r="O199" i="7"/>
  <c r="O200" i="7"/>
  <c r="O194" i="7"/>
  <c r="O195" i="7"/>
  <c r="C105" i="7"/>
  <c r="N200" i="7"/>
  <c r="C82" i="6"/>
  <c r="M195" i="7"/>
  <c r="C164" i="7"/>
  <c r="C171" i="7"/>
  <c r="F57" i="11"/>
  <c r="H95" i="12"/>
  <c r="H97" i="12"/>
  <c r="N23" i="12"/>
  <c r="N25" i="7"/>
  <c r="N19" i="10"/>
  <c r="N83" i="10"/>
  <c r="N86" i="6"/>
  <c r="N55" i="11"/>
  <c r="N22" i="11"/>
  <c r="N126" i="6"/>
  <c r="M101" i="12"/>
  <c r="M81" i="12"/>
  <c r="M96" i="12"/>
  <c r="C107" i="6"/>
  <c r="C169" i="7"/>
  <c r="C102" i="6"/>
  <c r="C178" i="7"/>
  <c r="M205" i="7"/>
  <c r="O29" i="10"/>
  <c r="N203" i="7"/>
  <c r="L208" i="7"/>
  <c r="G221" i="7"/>
  <c r="K221" i="7"/>
  <c r="J221" i="7"/>
  <c r="M122" i="7"/>
  <c r="M209" i="7"/>
  <c r="J210" i="7"/>
  <c r="L122" i="7"/>
  <c r="C106" i="7"/>
  <c r="N204" i="7"/>
  <c r="N195" i="7"/>
  <c r="C81" i="6"/>
  <c r="I95" i="12"/>
  <c r="I97" i="12"/>
  <c r="O126" i="6"/>
  <c r="O25" i="7"/>
  <c r="O86" i="6"/>
  <c r="O55" i="11"/>
  <c r="O23" i="12"/>
  <c r="O22" i="11"/>
  <c r="O19" i="10"/>
  <c r="O83" i="10"/>
  <c r="D57" i="11"/>
  <c r="N96" i="12"/>
  <c r="N81" i="12"/>
  <c r="N101" i="12"/>
  <c r="I57" i="11"/>
  <c r="E57" i="11"/>
  <c r="N205" i="7"/>
  <c r="M208" i="7"/>
  <c r="M210" i="7"/>
  <c r="M214" i="7"/>
  <c r="M218" i="7"/>
  <c r="N208" i="7"/>
  <c r="O203" i="7"/>
  <c r="C83" i="6"/>
  <c r="J214" i="7"/>
  <c r="J218" i="7"/>
  <c r="O204" i="7"/>
  <c r="L209" i="7"/>
  <c r="J95" i="12"/>
  <c r="J97" i="12"/>
  <c r="H80" i="12"/>
  <c r="H82" i="12"/>
  <c r="O101" i="12"/>
  <c r="O96" i="12"/>
  <c r="O81" i="12"/>
  <c r="C107" i="7"/>
  <c r="C66" i="10"/>
  <c r="O205" i="7"/>
  <c r="M221" i="7"/>
  <c r="L221" i="7"/>
  <c r="N122" i="7"/>
  <c r="L210" i="7"/>
  <c r="C108" i="7"/>
  <c r="O122" i="7"/>
  <c r="O209" i="7"/>
  <c r="K95" i="12"/>
  <c r="K97" i="12"/>
  <c r="C168" i="7"/>
  <c r="K57" i="11"/>
  <c r="H57" i="11"/>
  <c r="O208" i="7"/>
  <c r="O210" i="7"/>
  <c r="O214" i="7"/>
  <c r="O218" i="7"/>
  <c r="J57" i="11"/>
  <c r="L214" i="7"/>
  <c r="N209" i="7"/>
  <c r="C122" i="7"/>
  <c r="L95" i="12"/>
  <c r="L97" i="12"/>
  <c r="G57" i="11"/>
  <c r="G80" i="12"/>
  <c r="G82" i="12"/>
  <c r="I80" i="12"/>
  <c r="I82" i="12"/>
  <c r="L57" i="11"/>
  <c r="E105" i="12"/>
  <c r="C105" i="6"/>
  <c r="N221" i="7"/>
  <c r="O221" i="7"/>
  <c r="L218" i="7"/>
  <c r="N210" i="7"/>
  <c r="C209" i="7"/>
  <c r="J80" i="12"/>
  <c r="J82" i="12"/>
  <c r="M57" i="11"/>
  <c r="D105" i="12"/>
  <c r="O95" i="12"/>
  <c r="O97" i="12"/>
  <c r="C108" i="6"/>
  <c r="C63" i="10"/>
  <c r="C221" i="7"/>
  <c r="C45" i="10"/>
  <c r="C65" i="10"/>
  <c r="N214" i="7"/>
  <c r="N218" i="7"/>
  <c r="C218" i="7"/>
  <c r="C210" i="7"/>
  <c r="N95" i="12"/>
  <c r="N97" i="12"/>
  <c r="M95" i="12"/>
  <c r="M97" i="12"/>
  <c r="G105" i="12"/>
  <c r="C53" i="10"/>
  <c r="O57" i="11"/>
  <c r="C184" i="7"/>
  <c r="C214" i="7"/>
  <c r="C114" i="7"/>
  <c r="C97" i="12"/>
  <c r="F105" i="12"/>
  <c r="E58" i="11"/>
  <c r="C187" i="7"/>
  <c r="C188" i="7"/>
  <c r="L80" i="12"/>
  <c r="L82" i="12"/>
  <c r="K80" i="12"/>
  <c r="K82" i="12"/>
  <c r="D58" i="11"/>
  <c r="I105" i="12"/>
  <c r="C30" i="11"/>
  <c r="C31" i="12"/>
  <c r="N57" i="11"/>
  <c r="C67" i="10"/>
  <c r="C48" i="10"/>
  <c r="H105" i="12"/>
  <c r="G58" i="11"/>
  <c r="F58" i="11"/>
  <c r="K105" i="12"/>
  <c r="M80" i="12"/>
  <c r="M82" i="12"/>
  <c r="J105" i="12"/>
  <c r="N80" i="12"/>
  <c r="N82" i="12"/>
  <c r="I58" i="11"/>
  <c r="L105" i="12"/>
  <c r="H58" i="11"/>
  <c r="K58" i="11"/>
  <c r="M105" i="12"/>
  <c r="N105" i="12"/>
  <c r="C68" i="10"/>
  <c r="O80" i="12"/>
  <c r="O82" i="12"/>
  <c r="C69" i="10"/>
  <c r="C80" i="12"/>
  <c r="L58" i="11"/>
  <c r="J58" i="11"/>
  <c r="O74" i="10"/>
  <c r="C73" i="10"/>
  <c r="C82" i="12"/>
  <c r="M58" i="11"/>
  <c r="O105" i="12"/>
  <c r="C77" i="10"/>
  <c r="N58" i="11"/>
  <c r="C79" i="10"/>
  <c r="C105" i="12"/>
  <c r="C81" i="10"/>
  <c r="O58" i="11"/>
  <c r="C32" i="12"/>
  <c r="C31" i="11"/>
  <c r="E39" i="12"/>
  <c r="G39" i="12"/>
  <c r="F39" i="12"/>
  <c r="E59" i="11"/>
  <c r="E60" i="11"/>
  <c r="E51" i="11"/>
  <c r="D39" i="12"/>
  <c r="H39" i="12"/>
  <c r="G51" i="11"/>
  <c r="G60" i="11"/>
  <c r="G59" i="11"/>
  <c r="D51" i="11"/>
  <c r="D60" i="11"/>
  <c r="D59" i="11"/>
  <c r="F59" i="11"/>
  <c r="F51" i="11"/>
  <c r="F60" i="11"/>
  <c r="I39" i="12"/>
  <c r="H60" i="11"/>
  <c r="H59" i="11"/>
  <c r="H51" i="11"/>
  <c r="D52" i="11"/>
  <c r="E52" i="11"/>
  <c r="F52" i="11"/>
  <c r="G52" i="11"/>
  <c r="J39" i="12"/>
  <c r="H52" i="11"/>
  <c r="I60" i="11"/>
  <c r="I59" i="11"/>
  <c r="I51" i="11"/>
  <c r="K39" i="12"/>
  <c r="I52" i="11"/>
  <c r="J60" i="11"/>
  <c r="J59" i="11"/>
  <c r="J51" i="11"/>
  <c r="L39" i="12"/>
  <c r="J52" i="11"/>
  <c r="K59" i="11"/>
  <c r="K51" i="11"/>
  <c r="K60" i="11"/>
  <c r="M39" i="12"/>
  <c r="K52" i="11"/>
  <c r="D89" i="12"/>
  <c r="L51" i="11"/>
  <c r="L60" i="11"/>
  <c r="L59" i="11"/>
  <c r="N39" i="12"/>
  <c r="C124" i="6"/>
  <c r="C121" i="6"/>
  <c r="C122" i="6"/>
  <c r="L52" i="11"/>
  <c r="D93" i="12"/>
  <c r="M59" i="11"/>
  <c r="M51" i="11"/>
  <c r="M60" i="11"/>
  <c r="M52" i="11"/>
  <c r="C33" i="12"/>
  <c r="C28" i="11"/>
  <c r="C29" i="12"/>
  <c r="C125" i="6"/>
  <c r="N51" i="11"/>
  <c r="N59" i="11"/>
  <c r="N60" i="11"/>
  <c r="D100" i="12"/>
  <c r="C32" i="11"/>
  <c r="C37" i="12"/>
  <c r="O39" i="12"/>
  <c r="N52" i="11"/>
  <c r="E89" i="12"/>
  <c r="E93" i="12"/>
  <c r="E100" i="12"/>
  <c r="E102" i="12"/>
  <c r="E106" i="12"/>
  <c r="C37" i="11"/>
  <c r="D102" i="12"/>
  <c r="D106" i="12"/>
  <c r="O51" i="11"/>
  <c r="O60" i="11"/>
  <c r="O59" i="11"/>
  <c r="C39" i="12"/>
  <c r="O52" i="11"/>
  <c r="C53" i="11"/>
  <c r="C51" i="11"/>
  <c r="C45" i="12"/>
  <c r="F90" i="12"/>
  <c r="G87" i="12"/>
  <c r="C46" i="12"/>
  <c r="C69" i="12"/>
  <c r="F102" i="12"/>
  <c r="F106" i="12"/>
  <c r="G84" i="12"/>
  <c r="G85" i="12"/>
  <c r="G88" i="12"/>
  <c r="G90" i="12"/>
  <c r="H87" i="12"/>
  <c r="G89" i="12"/>
  <c r="G93" i="12"/>
  <c r="G100" i="12"/>
  <c r="G102" i="12"/>
  <c r="G106" i="12"/>
  <c r="H84" i="12"/>
  <c r="H85" i="12"/>
  <c r="H88" i="12"/>
  <c r="H89" i="12"/>
  <c r="H90" i="12"/>
  <c r="I87" i="12"/>
  <c r="H93" i="12"/>
  <c r="H100" i="12"/>
  <c r="H102" i="12"/>
  <c r="H106" i="12"/>
  <c r="I84" i="12"/>
  <c r="I85" i="12"/>
  <c r="I88" i="12"/>
  <c r="I90" i="12"/>
  <c r="J87" i="12"/>
  <c r="I89" i="12"/>
  <c r="I93" i="12"/>
  <c r="I100" i="12"/>
  <c r="I102" i="12"/>
  <c r="I106" i="12"/>
  <c r="J84" i="12"/>
  <c r="J85" i="12"/>
  <c r="J88" i="12"/>
  <c r="K54" i="12"/>
  <c r="J90" i="12"/>
  <c r="K87" i="12"/>
  <c r="J89" i="12"/>
  <c r="J93" i="12"/>
  <c r="J100" i="12"/>
  <c r="J102" i="12"/>
  <c r="J106" i="12"/>
  <c r="K84" i="12"/>
  <c r="K85" i="12"/>
  <c r="K88" i="12"/>
  <c r="K90" i="12"/>
  <c r="L87" i="12"/>
  <c r="K89" i="12"/>
  <c r="K93" i="12"/>
  <c r="K100" i="12"/>
  <c r="K102" i="12"/>
  <c r="K106" i="12"/>
  <c r="L84" i="12"/>
  <c r="L85" i="12"/>
  <c r="L88" i="12"/>
  <c r="M54" i="12"/>
  <c r="L90" i="12"/>
  <c r="M87" i="12"/>
  <c r="L89" i="12"/>
  <c r="L93" i="12"/>
  <c r="L100" i="12"/>
  <c r="L102" i="12"/>
  <c r="L106" i="12"/>
  <c r="N54" i="12"/>
  <c r="M84" i="12"/>
  <c r="M85" i="12"/>
  <c r="M88" i="12"/>
  <c r="M89" i="12"/>
  <c r="M93" i="12"/>
  <c r="M90" i="12"/>
  <c r="N87" i="12"/>
  <c r="M100" i="12"/>
  <c r="M102" i="12"/>
  <c r="M106" i="12"/>
  <c r="O54" i="12"/>
  <c r="N84" i="12"/>
  <c r="N85" i="12"/>
  <c r="N88" i="12"/>
  <c r="N90" i="12"/>
  <c r="O87" i="12"/>
  <c r="C57" i="12"/>
  <c r="C72" i="12"/>
  <c r="C56" i="12"/>
  <c r="C64" i="12"/>
  <c r="N89" i="12"/>
  <c r="N93" i="12"/>
  <c r="N100" i="12"/>
  <c r="N102" i="12"/>
  <c r="N106" i="12"/>
  <c r="C70" i="12"/>
  <c r="O84" i="12"/>
  <c r="O85" i="12"/>
  <c r="C85" i="12"/>
  <c r="C84" i="12"/>
  <c r="C73" i="12"/>
  <c r="O88" i="12"/>
  <c r="O90" i="12"/>
  <c r="O89" i="12"/>
  <c r="O93" i="12"/>
  <c r="C89" i="12"/>
  <c r="C93" i="12"/>
  <c r="O100" i="12"/>
  <c r="O102" i="12"/>
  <c r="C102" i="12"/>
  <c r="O106" i="12"/>
  <c r="C106" i="12"/>
  <c r="C100" i="12"/>
  <c r="C30" i="16"/>
  <c r="C32" i="16"/>
  <c r="C112" i="16"/>
  <c r="C115" i="16"/>
</calcChain>
</file>

<file path=xl/sharedStrings.xml><?xml version="1.0" encoding="utf-8"?>
<sst xmlns="http://schemas.openxmlformats.org/spreadsheetml/2006/main" count="670" uniqueCount="433">
  <si>
    <t>Contact</t>
  </si>
  <si>
    <t>Purpose</t>
  </si>
  <si>
    <t>recovery</t>
  </si>
  <si>
    <t>units</t>
  </si>
  <si>
    <t>Total</t>
  </si>
  <si>
    <t>Explaining the Protocols - Ignore this</t>
  </si>
  <si>
    <t>This section is used to explain the spreadsheet formatting on the Introduction worksheet.</t>
  </si>
  <si>
    <t>Cashstream 3: Operating Costs</t>
  </si>
  <si>
    <t>Cashstream 4: Taxes</t>
  </si>
  <si>
    <t>% of assessable income</t>
  </si>
  <si>
    <t>Data for Graphs</t>
  </si>
  <si>
    <t>Cashflow if positive</t>
  </si>
  <si>
    <t>Cashflow Deficit</t>
  </si>
  <si>
    <t xml:space="preserve">Self audit </t>
  </si>
  <si>
    <t>Some people use italics for nominal terms data and vertical font for real terms data</t>
  </si>
  <si>
    <t>% silver</t>
  </si>
  <si>
    <t>Computational algorithms should not change across a row.  If there is an exception it should be highlighted with a dark border</t>
  </si>
  <si>
    <t>Every algorithm must use cells only from its own worksheet.  (It does not directly reference data in another worksheet, nor contain hidden fresh data)</t>
  </si>
  <si>
    <t>It has its source - date, person and document - always visible in blue font in the row immediately above. (Not as a hidden cell note)</t>
  </si>
  <si>
    <t>Understanding the colour coding is easy!</t>
  </si>
  <si>
    <t>Years --&gt;</t>
  </si>
  <si>
    <t>days</t>
  </si>
  <si>
    <t>Cashstream 1: Sales &amp; Revenue</t>
  </si>
  <si>
    <t>From the 'Sales&amp;Revenue' worksheet</t>
  </si>
  <si>
    <t>US$ 000  Real</t>
  </si>
  <si>
    <t>US$ 000 Real</t>
  </si>
  <si>
    <t>US$ Real/unit</t>
  </si>
  <si>
    <t>Total Revenue</t>
  </si>
  <si>
    <t>CHECK: Debtors sum to zero</t>
  </si>
  <si>
    <t>Total debtors - at end of year</t>
  </si>
  <si>
    <t>CHECK: Cashstream 1 = Revenue</t>
  </si>
  <si>
    <t>Total creditors - at end of year</t>
  </si>
  <si>
    <t>CHECK: creditors sum to zero</t>
  </si>
  <si>
    <t>% added</t>
  </si>
  <si>
    <t>%</t>
  </si>
  <si>
    <t>Assessable income</t>
  </si>
  <si>
    <t>Assessable income after any carried losses</t>
  </si>
  <si>
    <t>Company minimum tax</t>
  </si>
  <si>
    <t>% of turnover</t>
  </si>
  <si>
    <t>Cashstream 2: Capital Costs (for plant and equipment)</t>
  </si>
  <si>
    <r>
      <t>2a.  Capital Purchases</t>
    </r>
    <r>
      <rPr>
        <sz val="16"/>
        <color rgb="FFFF0000"/>
        <rFont val="Calibri"/>
        <family val="2"/>
        <scheme val="minor"/>
      </rPr>
      <t xml:space="preserve"> (for plant and equipment)</t>
    </r>
  </si>
  <si>
    <r>
      <t xml:space="preserve">2b  Tax deductions for capital purchases </t>
    </r>
    <r>
      <rPr>
        <sz val="16"/>
        <color rgb="FFFF0000"/>
        <rFont val="Calibri"/>
        <family val="2"/>
        <scheme val="minor"/>
      </rPr>
      <t>("tax depreciation")</t>
    </r>
  </si>
  <si>
    <r>
      <t>Cashstream 2: Capital Costs</t>
    </r>
    <r>
      <rPr>
        <b/>
        <sz val="14"/>
        <color theme="1"/>
        <rFont val="Calibri"/>
        <family val="2"/>
        <scheme val="minor"/>
      </rPr>
      <t xml:space="preserve"> </t>
    </r>
    <r>
      <rPr>
        <sz val="14"/>
        <color theme="1"/>
        <rFont val="Calibri"/>
        <family val="2"/>
        <scheme val="minor"/>
      </rPr>
      <t>(for plant and equipment)</t>
    </r>
  </si>
  <si>
    <t>1.  Sales &amp; Revenue</t>
  </si>
  <si>
    <t>2. Capital Costs  &amp;   3. Operating Costs</t>
  </si>
  <si>
    <t>4. Taxes</t>
  </si>
  <si>
    <t xml:space="preserve">Discount factor </t>
  </si>
  <si>
    <t>Discounted cash flow</t>
  </si>
  <si>
    <t>% from Day 1.</t>
  </si>
  <si>
    <t>Net Present Value</t>
  </si>
  <si>
    <t>Pattern of overall sales</t>
  </si>
  <si>
    <t>Other fixed</t>
  </si>
  <si>
    <t>other fixed #1</t>
  </si>
  <si>
    <t>other fixed #2</t>
  </si>
  <si>
    <t>other fixed #3</t>
  </si>
  <si>
    <t>% fixed/ total costs</t>
  </si>
  <si>
    <t>US$ 000  Real (incl VAT)</t>
  </si>
  <si>
    <t xml:space="preserve"> </t>
  </si>
  <si>
    <t>Important!!!</t>
  </si>
  <si>
    <t>VAT as a percentage of final price</t>
  </si>
  <si>
    <t>Withholding Tax on Rental paid to residents</t>
  </si>
  <si>
    <t>Minimum Tax</t>
  </si>
  <si>
    <t>Value Added Tax (VAT)</t>
  </si>
  <si>
    <t>Assessable income (if positive)</t>
  </si>
  <si>
    <t>Cumulative net cashflow  (Real)</t>
  </si>
  <si>
    <t>US$ 000</t>
  </si>
  <si>
    <t xml:space="preserve">Inflation - US$ </t>
  </si>
  <si>
    <t>Inflator - US$</t>
  </si>
  <si>
    <t>Net Cash Flow - Real</t>
  </si>
  <si>
    <t>In August 2007, the Office of Best Practice Regulation (then part of the Productivity Commission) published its Best Practice Regulation Handbook, containing guidelines including use of a social discount rate of 7 percent real, with sensitivity testing over the range of 3 to 11 per cent (OBPR 2007, pp 129-132).</t>
  </si>
  <si>
    <t>http://www.pc.gov.au/research/supporting/cost-benefit-discount/cost-benefit-discount.pdf</t>
  </si>
  <si>
    <t>Discount Rate</t>
  </si>
  <si>
    <t>Cumulative discounted cash flow</t>
  </si>
  <si>
    <t>US$ 000  Nominal</t>
  </si>
  <si>
    <t>US$ 000 Nominal</t>
  </si>
  <si>
    <t>Interest rate on loans</t>
  </si>
  <si>
    <t xml:space="preserve">Interest - paid </t>
  </si>
  <si>
    <t>opening balance of equity funds invested</t>
  </si>
  <si>
    <t>funds available for drawdown</t>
  </si>
  <si>
    <t>closing balance of equity funds invested</t>
  </si>
  <si>
    <t>4 b.  Interest on loans</t>
  </si>
  <si>
    <t>4 c.  Equity</t>
  </si>
  <si>
    <t>max proportion of cash deficit that can be debt funded</t>
  </si>
  <si>
    <t>Assessable income - before interest</t>
  </si>
  <si>
    <t>deduct: -</t>
  </si>
  <si>
    <t>Assessable income - after interest</t>
  </si>
  <si>
    <t xml:space="preserve"> Minimum Tax</t>
  </si>
  <si>
    <t>4 a. Debt</t>
  </si>
  <si>
    <t>Income Statement</t>
  </si>
  <si>
    <t xml:space="preserve">Cash injections needed </t>
  </si>
  <si>
    <t>equity funds - new investment</t>
  </si>
  <si>
    <t>Revenue</t>
  </si>
  <si>
    <t>Cost of sales</t>
  </si>
  <si>
    <t>Opening stock</t>
  </si>
  <si>
    <t>Expenses</t>
  </si>
  <si>
    <t>Balance Sheet</t>
  </si>
  <si>
    <t>Working area</t>
  </si>
  <si>
    <t>3 Aug 2018  S Khan,  email of "Sales Plan  for Operations to 2025"</t>
  </si>
  <si>
    <t>&lt;-- The pink font signifies this entry is preliminary or dubious and so needs to be checked</t>
  </si>
  <si>
    <r>
      <rPr>
        <b/>
        <sz val="12"/>
        <color theme="1"/>
        <rFont val="Calibri"/>
        <family val="2"/>
        <scheme val="minor"/>
      </rPr>
      <t>Column B</t>
    </r>
    <r>
      <rPr>
        <sz val="12"/>
        <color theme="1"/>
        <rFont val="Calibri"/>
        <family val="2"/>
        <scheme val="minor"/>
      </rPr>
      <t xml:space="preserve"> is used for units - which are in full words and not abbreviations "millions dry tonnes" not "Mdt"</t>
    </r>
  </si>
  <si>
    <t>Total ABC units sold</t>
  </si>
  <si>
    <t>5Aug 2018 P Card: Working stocks will be consumed in the final year.</t>
  </si>
  <si>
    <t>Product A Sold</t>
  </si>
  <si>
    <t>Product A revenue</t>
  </si>
  <si>
    <t>Product B sold</t>
  </si>
  <si>
    <t>Product B revenue</t>
  </si>
  <si>
    <t>Product C sold</t>
  </si>
  <si>
    <t>Product C revenue</t>
  </si>
  <si>
    <t>Growth pattern of sales</t>
  </si>
  <si>
    <t>Units Sold</t>
  </si>
  <si>
    <t>Annual sales as a proportion of maximum sales</t>
  </si>
  <si>
    <t>Price decreases in real terms</t>
  </si>
  <si>
    <t>Product A - pricing decrease</t>
  </si>
  <si>
    <t>Product B - pricing decrease</t>
  </si>
  <si>
    <t>Product C - pricing decrease</t>
  </si>
  <si>
    <t>in real terms</t>
  </si>
  <si>
    <t>Cash grants from results based financing</t>
  </si>
  <si>
    <t>US$ /unit Real</t>
  </si>
  <si>
    <t>US$ / unit</t>
  </si>
  <si>
    <t>Rate of commission</t>
  </si>
  <si>
    <t>6. Total Revenue</t>
  </si>
  <si>
    <t>5. Commissions from international sales of ABC's</t>
  </si>
  <si>
    <t>days from sale to cash received</t>
  </si>
  <si>
    <t>Debtors at end of year - grants and commissions</t>
  </si>
  <si>
    <t>From the 'Sales&amp;Revenue' worksheet …</t>
  </si>
  <si>
    <t xml:space="preserve"> IT Hardware</t>
  </si>
  <si>
    <t>office equipment</t>
  </si>
  <si>
    <t>communications equipment</t>
  </si>
  <si>
    <t>research &amp; development equipment</t>
  </si>
  <si>
    <t>Tax deductions  ('tax depreciation')</t>
  </si>
  <si>
    <t>* Building and structures 5% Straight line</t>
  </si>
  <si>
    <t>* All other tangible property 20% Declining balance</t>
  </si>
  <si>
    <t>working stocks of ABC's ex-factory to installed on farms</t>
  </si>
  <si>
    <t>purchases from factory - Product A</t>
  </si>
  <si>
    <t>purchases from factory - Product B</t>
  </si>
  <si>
    <t>purchases from factory - Product C</t>
  </si>
  <si>
    <t>total purchases from factory of ABC's</t>
  </si>
  <si>
    <t>increase/(decrease) in working stocks - Product A</t>
  </si>
  <si>
    <t>increase/(decrease) in working stocks - Product B</t>
  </si>
  <si>
    <t>1 Aug 2018: email from M Ali detailing the working stocks of ABC units</t>
  </si>
  <si>
    <t>Product A - purchase cost  decrease</t>
  </si>
  <si>
    <t xml:space="preserve">Product A' - purchase cost </t>
  </si>
  <si>
    <t xml:space="preserve">Product B' - purchase cost </t>
  </si>
  <si>
    <t xml:space="preserve">Product C' - purchase cost </t>
  </si>
  <si>
    <t>freight and handling from factory</t>
  </si>
  <si>
    <t>1 Aug 2018: email from M Ali detailing the cost of freight and handling from ABC depot to customers.  A generalised estimate is used.</t>
  </si>
  <si>
    <t>freight and handling to customers from ABC depot</t>
  </si>
  <si>
    <t>1 Aug 2018: email from Lee Chang detailing the likely total cost of the Team</t>
  </si>
  <si>
    <t>Customer</t>
  </si>
  <si>
    <t>Development and Technical</t>
  </si>
  <si>
    <t>*  GM</t>
  </si>
  <si>
    <t xml:space="preserve">*  Regional Sales Manager #1 </t>
  </si>
  <si>
    <t>*  Regional Sales Manager #2</t>
  </si>
  <si>
    <t>*  Regional Sales Manager #3</t>
  </si>
  <si>
    <t>*  Production/Distribution Manager</t>
  </si>
  <si>
    <t>*  Logistics and Warehouse Coordinator</t>
  </si>
  <si>
    <t>*  other</t>
  </si>
  <si>
    <t>*  Development Leader</t>
  </si>
  <si>
    <t>* Development specialist</t>
  </si>
  <si>
    <t>General &amp; Admin</t>
  </si>
  <si>
    <t>*  Customer contact</t>
  </si>
  <si>
    <t>*  Accountant</t>
  </si>
  <si>
    <t>*  Office assistant</t>
  </si>
  <si>
    <t>1 Aug 2018: email from Lee Chang detailing the likely total cost of the non-people costs of ABC</t>
  </si>
  <si>
    <t>depot: warehouse &amp; office</t>
  </si>
  <si>
    <t>rent</t>
  </si>
  <si>
    <t>Utilities - electricity, gas, water</t>
  </si>
  <si>
    <t xml:space="preserve">office </t>
  </si>
  <si>
    <t xml:space="preserve">Internet provider and phones </t>
  </si>
  <si>
    <t>insurance &amp; legal</t>
  </si>
  <si>
    <t>professional services</t>
  </si>
  <si>
    <t>audit costs &amp; consultants</t>
  </si>
  <si>
    <t>travel</t>
  </si>
  <si>
    <t>hosting events</t>
  </si>
  <si>
    <t>activities</t>
  </si>
  <si>
    <t>vehicles</t>
  </si>
  <si>
    <t>cost of Product A</t>
  </si>
  <si>
    <t>US$ 000 Real/ unit</t>
  </si>
  <si>
    <t>selling margin on Product A</t>
  </si>
  <si>
    <t>Selling margin on Product A</t>
  </si>
  <si>
    <t>Selling margin on Product B</t>
  </si>
  <si>
    <t>Product A' - selling price</t>
  </si>
  <si>
    <t>Product B' - selling price</t>
  </si>
  <si>
    <t>Product C' - selling price</t>
  </si>
  <si>
    <t>cost of Product B</t>
  </si>
  <si>
    <t>selling margin on Product B</t>
  </si>
  <si>
    <t>Selling margin on Product C</t>
  </si>
  <si>
    <t>cost of Product C</t>
  </si>
  <si>
    <t>selling margin on Product C</t>
  </si>
  <si>
    <t>Gross selling margin on Products ABC</t>
  </si>
  <si>
    <t>Net  margin after fixed costs</t>
  </si>
  <si>
    <t>Net  margin after fixed costs &amp; capex</t>
  </si>
  <si>
    <t>Proportion of fixed costs</t>
  </si>
  <si>
    <t>days from invoice to paying cash</t>
  </si>
  <si>
    <t>5.  Cost &amp; Margin Analysis</t>
  </si>
  <si>
    <t>3a.  Purchases of ABC units ex -factory</t>
  </si>
  <si>
    <t>3b.  Variable Costs</t>
  </si>
  <si>
    <t>3b i.  Variable Costs - Purchase Cost of ABC units ex-factory</t>
  </si>
  <si>
    <t>3b iii. Variable Costs - Freighting ABC units to customers</t>
  </si>
  <si>
    <t xml:space="preserve">3c.  Fixed Costs </t>
  </si>
  <si>
    <t>3c i. Fixed Costs - People</t>
  </si>
  <si>
    <r>
      <t>3c ii. Fixed Costs - general</t>
    </r>
    <r>
      <rPr>
        <sz val="16"/>
        <color rgb="FFFF0000"/>
        <rFont val="Calibri"/>
        <family val="2"/>
        <scheme val="minor"/>
      </rPr>
      <t xml:space="preserve"> (non-people)</t>
    </r>
  </si>
  <si>
    <t>3b iii. Freight &amp; Handling of ABC units to customers from ABC Depot</t>
  </si>
  <si>
    <t>Net selling margin on Products ABC after capex</t>
  </si>
  <si>
    <t>Net selling margin on Products ABC after fixed costs</t>
  </si>
  <si>
    <t>Sales of ABC units</t>
  </si>
  <si>
    <t>Working Stocks of ABC units</t>
  </si>
  <si>
    <t>Purchases of ABC units</t>
  </si>
  <si>
    <t>Withholding tax (WHT)</t>
  </si>
  <si>
    <t xml:space="preserve">2018 07 12. A Khan Accountants website': Withholding tax of 10% is paid on rent.
</t>
  </si>
  <si>
    <t>4a.  Withholding Tax ("WHT")</t>
  </si>
  <si>
    <t>4b.  VAT</t>
  </si>
  <si>
    <t>VAT on ABC units sold</t>
  </si>
  <si>
    <t>VAT Rate</t>
  </si>
  <si>
    <t>VAT paid on Revenues</t>
  </si>
  <si>
    <t>3.  Revenue from ABC units</t>
  </si>
  <si>
    <t>2.  Selling Prices of ABC units</t>
  </si>
  <si>
    <t xml:space="preserve">4. Cash Grants from Results Based Financing </t>
  </si>
  <si>
    <t>Sales outside country</t>
  </si>
  <si>
    <t>commission per ABC sold outside country</t>
  </si>
  <si>
    <t>2018 06 17 G Gohs: Assume a commission of US$1.50/unit in Real terms for each unit sold outside the country</t>
  </si>
  <si>
    <t>VAT credits received on inputs</t>
  </si>
  <si>
    <t>4c.  Minimum Tax</t>
  </si>
  <si>
    <t xml:space="preserve">2018 07 12. A Khan Accountants website: Tax Booklet 3: taxable income is essentially the difference between total accessible revenue, whether domestic or foreign sourced,and allowable expenses paid or incurred to carry on the business, plus designated passive income such as interest,royalties and rent.
</t>
  </si>
  <si>
    <t>Discount rate for Project ABC</t>
  </si>
  <si>
    <t>A.  Sales of ABC's</t>
  </si>
  <si>
    <t>C. Internal Rate of Return</t>
  </si>
  <si>
    <t>D. Net Present Value</t>
  </si>
  <si>
    <t>% annual increase</t>
  </si>
  <si>
    <t>Product A - growth rate of sales</t>
  </si>
  <si>
    <t>Product B - growth rate of sales</t>
  </si>
  <si>
    <t>Product C - growth rate of sales</t>
  </si>
  <si>
    <t>1. Sales of A, B &amp; C units</t>
  </si>
  <si>
    <t xml:space="preserve">3 Aug 2018: The Social Enterprise ABC proposes to source and resell three products 'A', 'B' and 'C'.  </t>
  </si>
  <si>
    <t>This worked example may contain errors so it is essential to have a competent person audit your business case before making any decisions!!!</t>
  </si>
  <si>
    <r>
      <t xml:space="preserve">Model creator: Peter Card in Melbourne, at </t>
    </r>
    <r>
      <rPr>
        <u/>
        <sz val="12"/>
        <color rgb="FF0070C0"/>
        <rFont val="Calibri"/>
        <family val="2"/>
        <scheme val="minor"/>
      </rPr>
      <t xml:space="preserve">mpcard@tpg.com.au </t>
    </r>
  </si>
  <si>
    <t>external competent person</t>
  </si>
  <si>
    <t>Yet to be completed</t>
  </si>
  <si>
    <t>&lt;-- Every item of input data is exposed in a cell using blue font on a blue background,  (The blue shaded background is not necessary but helps others to immediately identify raw data inputs.)</t>
  </si>
  <si>
    <t xml:space="preserve">If a referenced cell is in Column E in the source worksheet then it appears in the same Column E in every other worksheet.  (this greatly reduces errors).  Therefore if 2019 is in column F in one worksheet then it is in column F in every other worksheet </t>
  </si>
  <si>
    <t>Raw data inputs</t>
  </si>
  <si>
    <t>Using data from another worksheet</t>
  </si>
  <si>
    <t>Algorithms</t>
  </si>
  <si>
    <t>Real and nominal terms</t>
  </si>
  <si>
    <t>Architecture</t>
  </si>
  <si>
    <r>
      <rPr>
        <b/>
        <sz val="12"/>
        <color theme="1"/>
        <rFont val="Calibri"/>
        <family val="2"/>
        <scheme val="minor"/>
      </rPr>
      <t>Column A</t>
    </r>
    <r>
      <rPr>
        <sz val="12"/>
        <color theme="1"/>
        <rFont val="Calibri"/>
        <family val="2"/>
        <scheme val="minor"/>
      </rPr>
      <t xml:space="preserve"> is used for descriptors and not left blank as an indent</t>
    </r>
  </si>
  <si>
    <r>
      <rPr>
        <b/>
        <sz val="12"/>
        <color theme="1"/>
        <rFont val="Calibri"/>
        <family val="2"/>
        <scheme val="minor"/>
      </rPr>
      <t>Column C</t>
    </r>
    <r>
      <rPr>
        <sz val="12"/>
        <color theme="1"/>
        <rFont val="Calibri"/>
        <family val="2"/>
        <scheme val="minor"/>
      </rPr>
      <t xml:space="preserve"> is for totals (and weighted averages).  These must be completed as checks on input data and results.  These are immediately visible.  They should not be put on the right hand side of the page of workings</t>
    </r>
  </si>
  <si>
    <r>
      <rPr>
        <b/>
        <sz val="12"/>
        <color theme="1"/>
        <rFont val="Calibri"/>
        <family val="2"/>
        <scheme val="minor"/>
      </rPr>
      <t>Column D and to the right</t>
    </r>
    <r>
      <rPr>
        <sz val="12"/>
        <color theme="1"/>
        <rFont val="Calibri"/>
        <family val="2"/>
        <scheme val="minor"/>
      </rPr>
      <t xml:space="preserve"> is for the data and computations.  It can be in months, quarters or years.</t>
    </r>
  </si>
  <si>
    <t>Corporate income tax</t>
  </si>
  <si>
    <r>
      <t>B.  Cash Flows</t>
    </r>
    <r>
      <rPr>
        <sz val="12"/>
        <color rgb="FFFF0000"/>
        <rFont val="Calibri"/>
        <family val="2"/>
        <scheme val="minor"/>
      </rPr>
      <t xml:space="preserve"> (before Project Funding)</t>
    </r>
  </si>
  <si>
    <t>3b ii.  Variable Costs - Freighting ABC units from factory to ABC Depot</t>
  </si>
  <si>
    <r>
      <t xml:space="preserve">Project Funding </t>
    </r>
    <r>
      <rPr>
        <i/>
        <sz val="18"/>
        <color rgb="FFFF0000"/>
        <rFont val="Calibri"/>
        <family val="2"/>
        <scheme val="minor"/>
      </rPr>
      <t>(Financing)</t>
    </r>
  </si>
  <si>
    <t>4 a. Donations</t>
  </si>
  <si>
    <t>Donation possible</t>
  </si>
  <si>
    <r>
      <t>4.  Project Funding</t>
    </r>
    <r>
      <rPr>
        <b/>
        <i/>
        <sz val="22"/>
        <color rgb="FFFF0000"/>
        <rFont val="Calibri"/>
        <family val="2"/>
        <scheme val="minor"/>
      </rPr>
      <t xml:space="preserve"> </t>
    </r>
    <r>
      <rPr>
        <i/>
        <sz val="22"/>
        <color rgb="FFFF0000"/>
        <rFont val="Calibri"/>
        <family val="2"/>
        <scheme val="minor"/>
      </rPr>
      <t xml:space="preserve"> (Financing)</t>
    </r>
  </si>
  <si>
    <t>4a. Net Cash Flow after donations</t>
  </si>
  <si>
    <t>B. Net Cash Flow before project funding</t>
  </si>
  <si>
    <t>Working Capital - level needed</t>
  </si>
  <si>
    <t>4. Project Working Capital</t>
  </si>
  <si>
    <r>
      <t xml:space="preserve">US$ </t>
    </r>
    <r>
      <rPr>
        <b/>
        <sz val="10"/>
        <color theme="1"/>
        <rFont val="Calibri"/>
        <family val="2"/>
        <scheme val="minor"/>
      </rPr>
      <t>Real</t>
    </r>
    <r>
      <rPr>
        <sz val="10"/>
        <color theme="1"/>
        <rFont val="Calibri"/>
        <family val="2"/>
        <scheme val="minor"/>
      </rPr>
      <t xml:space="preserve">/ unit </t>
    </r>
  </si>
  <si>
    <t>2018 07 02 Ben James email: Talks of "$150k reserve working capital" to allow the project to survive through monthly ups and downsbut this needs checking</t>
  </si>
  <si>
    <t>Project Working Capital - change</t>
  </si>
  <si>
    <t>Project Working Capital - closing</t>
  </si>
  <si>
    <t>Total (increase)/decrease in creditors at end of year</t>
  </si>
  <si>
    <t>3c.  Total Operating 'Expenses'</t>
  </si>
  <si>
    <t>CHECK: operating costs = operating 'expenses'</t>
  </si>
  <si>
    <t>D. Cash Injections Needed</t>
  </si>
  <si>
    <t>C. Converting Net Cash Flow before project funding into Nominal</t>
  </si>
  <si>
    <t>2018 08 06 P Carter: Assume that equity injections will have to make up any shortfall in funding when the project cashflow is negative and to cover any interest payments</t>
  </si>
  <si>
    <r>
      <t xml:space="preserve">4d. Company Income Tax </t>
    </r>
    <r>
      <rPr>
        <sz val="16"/>
        <color rgb="FFFF0000"/>
        <rFont val="Calibri"/>
        <family val="2"/>
        <scheme val="minor"/>
      </rPr>
      <t xml:space="preserve"> (before project funding)</t>
    </r>
  </si>
  <si>
    <t>Company income tax rate</t>
  </si>
  <si>
    <r>
      <t>4e  Income Tax or Minimum Tax</t>
    </r>
    <r>
      <rPr>
        <sz val="12"/>
        <color rgb="FFFF0000"/>
        <rFont val="Calibri"/>
        <family val="2"/>
        <scheme val="minor"/>
      </rPr>
      <t xml:space="preserve">  (before project funding)</t>
    </r>
  </si>
  <si>
    <t>5.Recalculation of Income Tax and Minimum Tax- after project funding</t>
  </si>
  <si>
    <t>3a i.  Cost of purchasing ABC units ex-factory</t>
  </si>
  <si>
    <t>Net Cash Flow before project funding - Nominal</t>
  </si>
  <si>
    <t>Change in income tax/minimum tax from project funding</t>
  </si>
  <si>
    <t>VAT paid - net</t>
  </si>
  <si>
    <r>
      <t xml:space="preserve">4d. Income tax </t>
    </r>
    <r>
      <rPr>
        <sz val="10"/>
        <color theme="1"/>
        <rFont val="Calibri"/>
        <family val="2"/>
        <scheme val="minor"/>
      </rPr>
      <t>(before project funding)</t>
    </r>
  </si>
  <si>
    <r>
      <t>Net Cashflow</t>
    </r>
    <r>
      <rPr>
        <sz val="20"/>
        <color rgb="FFFF0000"/>
        <rFont val="Calibri"/>
        <family val="2"/>
        <scheme val="minor"/>
      </rPr>
      <t xml:space="preserve"> - before project funding</t>
    </r>
  </si>
  <si>
    <t>Decrease in income tax from project funding</t>
  </si>
  <si>
    <t>Income tax after project funding - Nominal</t>
  </si>
  <si>
    <r>
      <t xml:space="preserve">Income Tax </t>
    </r>
    <r>
      <rPr>
        <i/>
        <sz val="16"/>
        <color rgb="FFFF0000"/>
        <rFont val="Calibri"/>
        <family val="2"/>
        <scheme val="minor"/>
      </rPr>
      <t>- after project funding</t>
    </r>
  </si>
  <si>
    <r>
      <t xml:space="preserve">Income Tax/ Minimum Tax </t>
    </r>
    <r>
      <rPr>
        <i/>
        <sz val="16"/>
        <color rgb="FFFF0000"/>
        <rFont val="Calibri"/>
        <family val="2"/>
        <scheme val="minor"/>
      </rPr>
      <t>- after project funding</t>
    </r>
  </si>
  <si>
    <r>
      <t>%</t>
    </r>
    <r>
      <rPr>
        <b/>
        <u/>
        <sz val="11"/>
        <color rgb="FF0033CC"/>
        <rFont val="Calibri"/>
        <family val="2"/>
        <scheme val="minor"/>
      </rPr>
      <t xml:space="preserve"> Real</t>
    </r>
  </si>
  <si>
    <t xml:space="preserve">US$ 000 </t>
  </si>
  <si>
    <t>Real terms</t>
  </si>
  <si>
    <t>2018 06 06 P Card: For social enterprises the following IRR may not be a typical 'project IRR' where large amounts of cash are invested upfront to build facilicities.  Instead it may reflect the cash needed to set-up then sustain the business through the early years - when costs are greater than revenue.</t>
  </si>
  <si>
    <t>2018 06 06 P Card: Add the inflation rate to get the IRR in Nominal Terms</t>
  </si>
  <si>
    <r>
      <t xml:space="preserve">2010 Apr Aust Productivity Commission Mark Harrison: The appropriate adjustments for taxes and risk cannot be precisely estimated — one reason why sensitivity testing is important. A base rate of 8 per cent </t>
    </r>
    <r>
      <rPr>
        <sz val="10"/>
        <color rgb="FF0070C0"/>
        <rFont val="Calibri"/>
        <family val="2"/>
        <scheme val="minor"/>
      </rPr>
      <t>(real or nominal?</t>
    </r>
    <r>
      <rPr>
        <sz val="12"/>
        <color rgb="FF0070C0"/>
        <rFont val="Calibri"/>
        <family val="2"/>
        <scheme val="minor"/>
      </rPr>
      <t xml:space="preserve">), and testing over a range of 3 to 10 per cent is proposed. </t>
    </r>
  </si>
  <si>
    <t xml:space="preserve">2018 08 10  P Card: The net present value {"NPV"} is the amount that a disinterested organisation should be willing to sell or be willing to buy the project today - using all the assumptions in this valuation model.  It is a neutral value.  </t>
  </si>
  <si>
    <t>7 Aug 2018 P Card: Computing or selecting the discount rate for a social enterprise is very challenging.  The method appears to vary across the various enterprises and so there does not appear to be a consensus.  Even in commercial industry there are various approaches to setting a discount rate - some of which do not follow financial theory.</t>
  </si>
  <si>
    <t>Pre-tax profit (loss)</t>
  </si>
  <si>
    <t>Profit/(Loss) after tax</t>
  </si>
  <si>
    <r>
      <t xml:space="preserve">Purchase prices in real terms </t>
    </r>
    <r>
      <rPr>
        <sz val="10"/>
        <color rgb="FFFF0000"/>
        <rFont val="Calibri"/>
        <family val="2"/>
        <scheme val="minor"/>
      </rPr>
      <t>incl VAT</t>
    </r>
  </si>
  <si>
    <r>
      <t>Cost of purchases of ABC units in real terms</t>
    </r>
    <r>
      <rPr>
        <sz val="10"/>
        <color rgb="FFFF0000"/>
        <rFont val="Calibri"/>
        <family val="2"/>
        <scheme val="minor"/>
      </rPr>
      <t xml:space="preserve"> incl VAT</t>
    </r>
  </si>
  <si>
    <t>Accounting depreciation - notional</t>
  </si>
  <si>
    <t>Loss carried forward - closing balance</t>
  </si>
  <si>
    <t>project loan - closing balance</t>
  </si>
  <si>
    <t>project loan - opening balance</t>
  </si>
  <si>
    <t>max amount of funding deficit that can be debt funded</t>
  </si>
  <si>
    <t>net equity</t>
  </si>
  <si>
    <t>E. Plant and Equipment</t>
  </si>
  <si>
    <t>G. Cashflow</t>
  </si>
  <si>
    <t>F. Income Tax on Accounting Profit</t>
  </si>
  <si>
    <t>Income Tax on accounting profit</t>
  </si>
  <si>
    <t>Plant &amp; Equipment - net book value</t>
  </si>
  <si>
    <t>Plant &amp; Equipment - opening balance</t>
  </si>
  <si>
    <t>Plant &amp; Equipment - closing balance</t>
  </si>
  <si>
    <t>accumulated depreciation</t>
  </si>
  <si>
    <t>Plant &amp; Equipment</t>
  </si>
  <si>
    <t>Total Assets</t>
  </si>
  <si>
    <t>Current Liabilities</t>
  </si>
  <si>
    <t>Current Assets</t>
  </si>
  <si>
    <t>Project loan - current portion</t>
  </si>
  <si>
    <t>Project loan - non-current portion</t>
  </si>
  <si>
    <t>Long Term Liabilities</t>
  </si>
  <si>
    <t>Total  Liabilities</t>
  </si>
  <si>
    <t>Equity</t>
  </si>
  <si>
    <t>1 Aug 2018: Social Enterprise ABC Marketing Report: page 22</t>
  </si>
  <si>
    <t>1 Aug 2018: Social Enterprise ABC Marketing Report: page 21</t>
  </si>
  <si>
    <r>
      <t xml:space="preserve">US$ </t>
    </r>
    <r>
      <rPr>
        <b/>
        <sz val="11"/>
        <color theme="1"/>
        <rFont val="Calibri"/>
        <family val="2"/>
        <scheme val="minor"/>
      </rPr>
      <t>Real</t>
    </r>
    <r>
      <rPr>
        <sz val="11"/>
        <color theme="1"/>
        <rFont val="Calibri"/>
        <family val="2"/>
        <scheme val="minor"/>
      </rPr>
      <t xml:space="preserve">/ unit </t>
    </r>
  </si>
  <si>
    <t>2018 05 17 Vision Org email: Commited to grant $2 per unit sold under conditions specified in email</t>
  </si>
  <si>
    <t>2018 06 17 G Gohs: Assume sales outside the country will build to 120% of inside.</t>
  </si>
  <si>
    <t>Revenue from ABC units</t>
  </si>
  <si>
    <t xml:space="preserve">Cash Grants from Results Based Financing </t>
  </si>
  <si>
    <t>Commissions from international sales of ABC's</t>
  </si>
  <si>
    <r>
      <t xml:space="preserve">5.  Creditors </t>
    </r>
    <r>
      <rPr>
        <sz val="14"/>
        <color rgb="FFFF0000"/>
        <rFont val="Calibri"/>
        <family val="2"/>
        <scheme val="minor"/>
      </rPr>
      <t xml:space="preserve">  (Accounts Payable)</t>
    </r>
  </si>
  <si>
    <r>
      <t xml:space="preserve">7.  Debtors  </t>
    </r>
    <r>
      <rPr>
        <sz val="14"/>
        <color rgb="FFFF0000"/>
        <rFont val="Calibri"/>
        <family val="2"/>
        <scheme val="minor"/>
      </rPr>
      <t>(Accounts Receivable)</t>
    </r>
  </si>
  <si>
    <t>Debtors - grants and commissions</t>
  </si>
  <si>
    <t>2018 07 20 F Widdhi: email that grants and commissions will be slow to be paid in cash so assume 6 months</t>
  </si>
  <si>
    <t>Increase/(decrease) in debtors at end of year</t>
  </si>
  <si>
    <r>
      <t>Cashstream 1: Revenue</t>
    </r>
    <r>
      <rPr>
        <sz val="12"/>
        <color theme="1"/>
        <rFont val="Calibri"/>
        <family val="2"/>
        <scheme val="minor"/>
      </rPr>
      <t xml:space="preserve"> (incl debtors)</t>
    </r>
  </si>
  <si>
    <r>
      <t>Cashstream 3: Operating Costs</t>
    </r>
    <r>
      <rPr>
        <sz val="12"/>
        <color theme="1"/>
        <rFont val="Calibri"/>
        <family val="2"/>
        <scheme val="minor"/>
      </rPr>
      <t xml:space="preserve">  (incl creditors)</t>
    </r>
  </si>
  <si>
    <t>1 Aug 2018: Social Enterprise Project ABC: "Estimate of Capital Costs", page 5, rows 34 to 45</t>
  </si>
  <si>
    <t>capital costs - added</t>
  </si>
  <si>
    <t>undeducted capital costs - opening balance</t>
  </si>
  <si>
    <t>undeducted capital costs - available for tax deductions</t>
  </si>
  <si>
    <t>3 Aug 2018 P Carter:  In this evaluation model all capital purchases will be pooled into one category to avoid excessive and unwarranted computations of a relatively minor expenditure.  The impact on NPV of this pooling should be insignificant.</t>
  </si>
  <si>
    <t>2018 07 28 website of Khan Accounting - Income Tax: Expenditure on capital expenditure is depreciable according to designated rates as below: -</t>
  </si>
  <si>
    <t xml:space="preserve">Weighted deduction rate for the pool of capital items </t>
  </si>
  <si>
    <t>% diminishing</t>
  </si>
  <si>
    <t>* Computers, electronic information systems, software and data handling equipment 25% Declining balance</t>
  </si>
  <si>
    <t xml:space="preserve">* Automobiles, trucks, office furniture and equipment 15% Declining balance </t>
  </si>
  <si>
    <t>undeducted capital costs - closing balance</t>
  </si>
  <si>
    <t>Value of tax deductions eroded by inflation</t>
  </si>
  <si>
    <t>working stocks Product A - closing</t>
  </si>
  <si>
    <t>working stocks Product B - closing</t>
  </si>
  <si>
    <t>working stocks Product C - closing</t>
  </si>
  <si>
    <t>1 Aug 2018 M Ali: Social Enterprise ABC report on "Purchasing A,B &amp; C  Units" page 7 details prices in REAL terms with forecast price decreases over time.</t>
  </si>
  <si>
    <r>
      <t xml:space="preserve">Purchase price </t>
    </r>
    <r>
      <rPr>
        <u/>
        <sz val="12"/>
        <color rgb="FFFF0000"/>
        <rFont val="Calibri"/>
        <family val="2"/>
        <scheme val="minor"/>
      </rPr>
      <t>decreases</t>
    </r>
    <r>
      <rPr>
        <sz val="12"/>
        <color rgb="FFFF0000"/>
        <rFont val="Calibri"/>
        <family val="2"/>
        <scheme val="minor"/>
      </rPr>
      <t xml:space="preserve"> in real terms</t>
    </r>
  </si>
  <si>
    <t>6Aug 2018 P Carter: telecon - interim estimate of creditors is average 30 days</t>
  </si>
  <si>
    <t xml:space="preserve">2018 07 12. A Khan Accountants website: Most local and foreign investments and foreign investors are subject to the same taxation system and will be affected by the following taxes:
</t>
  </si>
  <si>
    <t>2018 07 12 Khan Accounting website: Tax Booklet 5: "Under the VAT system, output tax is collected from a customer by adding VAT to the amount charged. However, a business also pays input tax to its suppliers on purchases that it makes. The business must pay the output tax to the State after deducting the input tax paid to its suppliers. In theory, the business therefore pays tax on the value that it adds in the supply chain. The tax is ultimately borne by the end consumer.</t>
  </si>
  <si>
    <t>2018 07 12 Khan Accounting website: Tax Booklet 5: "IMPORTANTLY An export business that is "zero rated" will get the VAT paid on its inputs refunded - but a business that is "exempt" from VAT is outside the VAT rregime and cannot recover input tax paid.</t>
  </si>
  <si>
    <t>2018 08 13 Khan Accounting telecon: To avoid unwarranted rows of very detailed computations that have a minimal impact on NPV, assume that all inputs are subject to VAT - although some charges may not.</t>
  </si>
  <si>
    <t>2018 07 12. A Khan Accountants website: "Minimum tax is separate from income tax and is payable regardless of
whether the taxpayer is in profit or loss."</t>
  </si>
  <si>
    <t>6 Aug 2018 P Carter:  Where the capital expenditure is relatively small and/or where the rate of deduction specified by the Tax Office is rapid then this may be done in Real terms.  (Is it unimportant when compared with the project's assumptions of sales, prices and costs?)</t>
  </si>
  <si>
    <t>6 Aug 2018 P Carter:  Any loss in accuracy can be checked out, but it is likely to be insignificant compared with the uncertainties around forecasts of sales, prices and costs.</t>
  </si>
  <si>
    <r>
      <t xml:space="preserve">6 Aug 2018 P Carter:  </t>
    </r>
    <r>
      <rPr>
        <b/>
        <i/>
        <sz val="12"/>
        <color rgb="FF0070C0"/>
        <rFont val="Calibri"/>
        <family val="2"/>
        <scheme val="minor"/>
      </rPr>
      <t>The tax returns submitted to the nation's tax office, most likely will be in Nominal local currency - including inflation.</t>
    </r>
    <r>
      <rPr>
        <b/>
        <sz val="12"/>
        <color rgb="FF0070C0"/>
        <rFont val="Calibri"/>
        <family val="2"/>
        <scheme val="minor"/>
      </rPr>
      <t xml:space="preserve">  To avoid unwarranted masses of computations, the taxes below are in Real US$ terms - excluding inflation.  </t>
    </r>
  </si>
  <si>
    <t>7 Aug 2018 P Carter:  To compute these taxes with high accuracy: 1) all the input parameters need to be converted from Real US$'s to local currency in Nominal terms - using forecasts of exchange rates and inflation; 2) do computations in nominal local currency; and 3) convert back to US$ Real terms.  The differences in US and local inflation may impact the exchange rate.</t>
  </si>
  <si>
    <t>2018 07 12. A Khan Accountants website: Tax Booklet 3: "The Minimum Tax is an annual tax at 1% of annual turnover inclusive of all
 taxes except VAT"</t>
  </si>
  <si>
    <t xml:space="preserve">2018 07 12. A Khan Accountants website: Tax Booklet 3  Rates of income tax - Standard rate 25% </t>
  </si>
  <si>
    <t>6 Aug 2018 P Carter: The following computation of income tax is in real terms.  Any tiny errors from year to year, caused by not computing in nominal terms should be insignificant, especially when compared with the major assumptions on sales volumes, prices and costs.</t>
  </si>
  <si>
    <t>6 Aug 2018 P Carter: The timing of the 'cost of sales' is not exactly matched to revenue but should be reasonable as the over/under costs in one year should be offset by under/over costs in following years.</t>
  </si>
  <si>
    <t>Opening balance - assessable income losses</t>
  </si>
  <si>
    <t>Closing balance - assessable income losses to be carried forward</t>
  </si>
  <si>
    <t>Peter Card on 15 Aug 2018</t>
  </si>
  <si>
    <t>Audits of this business model</t>
  </si>
  <si>
    <t>Instead the whole row is first referenced across from the other worksheet as green font on green background.  (The green shaded background is not necessary but helps others to immediately identify data referenced across from another worksheet.)</t>
  </si>
  <si>
    <t>The complete row is referenced across, including its title in column A, to show other people that the correct data is being referenced.</t>
  </si>
  <si>
    <t xml:space="preserve">An algorithm on one worksheet never directly references a cell in onother worksheet - so there is never a cell from another worksheet hidden away inside a formula. </t>
  </si>
  <si>
    <t>From the four worksheets: -</t>
  </si>
  <si>
    <r>
      <t>Internal Rate of Return</t>
    </r>
    <r>
      <rPr>
        <sz val="14"/>
        <color theme="1"/>
        <rFont val="Calibri"/>
        <family val="2"/>
        <scheme val="minor"/>
      </rPr>
      <t xml:space="preserve"> (Real)</t>
    </r>
  </si>
  <si>
    <r>
      <t>Net Cash Flow</t>
    </r>
    <r>
      <rPr>
        <sz val="12"/>
        <color theme="1"/>
        <rFont val="Calibri"/>
        <family val="2"/>
        <scheme val="minor"/>
      </rPr>
      <t xml:space="preserve">  before funding (Real)</t>
    </r>
  </si>
  <si>
    <t>2018 08 10  P Card: In broad terms, the net present value {"NPV"} may not increase significantly by introducing debt funding to get a reduction in income tax because of interest payments.  Some suggest that the extra risk with debt will increase the discount rate and largely offset the tax benefit.</t>
  </si>
  <si>
    <t>7 Aug 2018 P Card: For each project the social enterprise should research discount rates for commercial industries in that country that are similar to the social enterprise's project - to get a starting position.   Then there probably will be debate as to whether social enterprises should be treated very differently to commercial enterprises.</t>
  </si>
  <si>
    <t>NPV is in today's US$ terms so is both 'nominal' and 'real'</t>
  </si>
  <si>
    <r>
      <t xml:space="preserve">2018 08 06 P Card: Unlike the preceding economic evaluation the computations of project funding below are in nominal terms - including inflation </t>
    </r>
    <r>
      <rPr>
        <i/>
        <sz val="16"/>
        <color rgb="FFFF66CC"/>
        <rFont val="Calibri"/>
        <family val="2"/>
        <scheme val="minor"/>
      </rPr>
      <t>(Hence in Italics)</t>
    </r>
  </si>
  <si>
    <t>2018 08 02 Global Friendship offers a donation of $100 000 when the annual project net cashflow-after-tax becomes cash positive.</t>
  </si>
  <si>
    <t>2018 08 02 Ben James email with attachments: Offers a loan of up to $250 000 between 2019 to 2021. It can be a maximum of 50% of the cash deficit from operations after tax.  Repayments are when the project has sufficient excess cash generated.</t>
  </si>
  <si>
    <t>Loan funds available for drawdown - maximum</t>
  </si>
  <si>
    <t>loan - drawdowns</t>
  </si>
  <si>
    <t>2018 07 06 P Card: Interest is part of the financing and so does not get fed back to the 'Net Cashflow (before funding)' in the preceding worksheets!</t>
  </si>
  <si>
    <t>2018 08 02 Ben James email:  loan for $250 000 at 8% interest.  The interest computed below is approximate.</t>
  </si>
  <si>
    <t>2018 06 06 P Card: Interest is deductible for Income Tax but this does not get fed back to the preceding worksheets!</t>
  </si>
  <si>
    <t>Referenced from the "Taxes" worksheet: -</t>
  </si>
  <si>
    <t>2018 06 06 P Card: There may be little or no change in the tax paid when the interest is deductible because the minimum tax obliterates its impact.</t>
  </si>
  <si>
    <t>Pre-tax Profit as % of revenue</t>
  </si>
  <si>
    <t>Inflators from Real to Nominal terms</t>
  </si>
  <si>
    <t>Nominal currency units</t>
  </si>
  <si>
    <t>Inflation - In country</t>
  </si>
  <si>
    <t>Inflator - In country</t>
  </si>
  <si>
    <t>5 Aug 2018 P Carter:  The following computation of tax deductions for capital purchases is performed in Nominal terms to include the erosion of deductions by inflation.  Because tax returns are submitted in local currency, it uses local inflation.</t>
  </si>
  <si>
    <t>Computing the erosion of tax deductions by local inflation</t>
  </si>
  <si>
    <t>2018 07 27 M Mulli: To compute a notional accounting depreciation over the life of project, allocate capital expenditure in proportion to sales of ABC units.</t>
  </si>
  <si>
    <t>A. Revenue</t>
  </si>
  <si>
    <t>B. Purchases of ABC's</t>
  </si>
  <si>
    <t>Cost of purchasing ABC units ex-factory</t>
  </si>
  <si>
    <t xml:space="preserve">C. Stock on hand </t>
  </si>
  <si>
    <t>D. Expenses</t>
  </si>
  <si>
    <t>Expenses (incl WHT)</t>
  </si>
  <si>
    <t>Depreciation</t>
  </si>
  <si>
    <t>Profit after carried forward losses</t>
  </si>
  <si>
    <t>2018 07 31 M Mulli: The accounts use a different depreciation regime to the tax office.  This means that the income tax payable when computed here in the Accounts will be out of sync with the actual ones paid to the tax office.  Over time the two should total approx. the same in Nominal terms.</t>
  </si>
  <si>
    <t>accumulated depreciation before erosion by local inflation</t>
  </si>
  <si>
    <t>Inflation - local - US</t>
  </si>
  <si>
    <t>Inflator - erosion of value by local inflation over US inflation</t>
  </si>
  <si>
    <t>Accounting depreciation (after erosion by local inflation above US inflation)</t>
  </si>
  <si>
    <r>
      <t>loan -</t>
    </r>
    <r>
      <rPr>
        <b/>
        <i/>
        <sz val="16"/>
        <color rgb="FFFF0000"/>
        <rFont val="Calibri"/>
        <family val="2"/>
        <scheme val="minor"/>
      </rPr>
      <t xml:space="preserve"> repayments</t>
    </r>
  </si>
  <si>
    <t>Cumulative net cashflow</t>
  </si>
  <si>
    <t>Working stocks of ABC's - closing</t>
  </si>
  <si>
    <r>
      <t xml:space="preserve">Plant &amp; Equipment </t>
    </r>
    <r>
      <rPr>
        <i/>
        <sz val="10"/>
        <color theme="1"/>
        <rFont val="Calibri"/>
        <family val="2"/>
        <scheme val="minor"/>
      </rPr>
      <t>- net book value</t>
    </r>
  </si>
  <si>
    <t>Cash (Cumulative net cashflow)</t>
  </si>
  <si>
    <t>H. Debtors &amp; Creditors</t>
  </si>
  <si>
    <t>I.   Debt</t>
  </si>
  <si>
    <t>J. Equity</t>
  </si>
  <si>
    <t>2018 07 14 Leon Chee email: The depreciation will be recorded and computed in local currency.  Its value in nominal US$ terms will be eroded by the amount the local inflation exceeds US inflation.</t>
  </si>
  <si>
    <r>
      <t>Accounting</t>
    </r>
    <r>
      <rPr>
        <i/>
        <sz val="18"/>
        <color rgb="FFFF0000"/>
        <rFont val="Calibri"/>
        <family val="2"/>
        <scheme val="minor"/>
      </rPr>
      <t xml:space="preserve"> (in Nominal terms)</t>
    </r>
  </si>
  <si>
    <r>
      <t xml:space="preserve">This worked example of a business case is available free to social enterprises.  (It is available to download from Peter's free website </t>
    </r>
    <r>
      <rPr>
        <b/>
        <u/>
        <sz val="16"/>
        <color rgb="FF0070C0"/>
        <rFont val="Calibri"/>
        <family val="2"/>
      </rPr>
      <t>www.economicevaluation.com.au</t>
    </r>
    <r>
      <rPr>
        <b/>
        <sz val="16"/>
        <rFont val="Calibri"/>
        <family val="2"/>
      </rPr>
      <t xml:space="preserve"> )</t>
    </r>
  </si>
  <si>
    <t xml:space="preserve">In this business case 'Social Enterprise ABC' proposes to source and resell three products; 'A', 'B' and 'C'.  </t>
  </si>
  <si>
    <r>
      <t xml:space="preserve">Every business model must be kept easy for </t>
    </r>
    <r>
      <rPr>
        <b/>
        <u/>
        <sz val="14"/>
        <rFont val="Calibri"/>
        <family val="2"/>
      </rPr>
      <t>others</t>
    </r>
    <r>
      <rPr>
        <b/>
        <sz val="14"/>
        <rFont val="Calibri"/>
        <family val="2"/>
      </rPr>
      <t xml:space="preserve"> </t>
    </r>
    <r>
      <rPr>
        <sz val="14"/>
        <rFont val="Calibri"/>
        <family val="2"/>
      </rPr>
      <t xml:space="preserve">to immediately understand: it must be in small steps in an obvious layout with lots of bold headings and the source of every data input being </t>
    </r>
    <r>
      <rPr>
        <u/>
        <sz val="14"/>
        <rFont val="Calibri"/>
        <family val="2"/>
      </rPr>
      <t>visible.</t>
    </r>
  </si>
  <si>
    <t>This business model works in REAL terms (excluding inflation) in the first four worksheets.  Any project funding (financing) is specifically excluded from 'Net Cashflow - before funding'.</t>
  </si>
  <si>
    <t>It then uses NOMINAL terms for project funding and accounting.  These two do not feed back to the worksheets computing Taxes and Net Cashflow.  Trying to enhance NPV and IRR by incorporating tax benefits from project funding is self-deception.</t>
  </si>
  <si>
    <r>
      <t xml:space="preserve">4b.  VAT </t>
    </r>
    <r>
      <rPr>
        <sz val="12"/>
        <color theme="1"/>
        <rFont val="Calibri"/>
        <family val="2"/>
        <scheme val="minor"/>
      </rPr>
      <t>- net paid/(net refunded)</t>
    </r>
  </si>
  <si>
    <t>Sales of units outside the country as a percentage of sales inside the country</t>
  </si>
  <si>
    <t>Debtors - sales inside the country</t>
  </si>
  <si>
    <t>2018 07 20 F Widdhi: email that buyers inside the country will average 14 days to pay cash.</t>
  </si>
  <si>
    <t>Debtors at end of year - in-country sales</t>
  </si>
  <si>
    <t>Sales outside the country</t>
  </si>
  <si>
    <t>Business Model of 'Social Enterprise ABC' incl funding and accounting 10 years - Base Case</t>
  </si>
  <si>
    <t>Be Aware: This Income Statement was created by a non-accountant so it needs to be checked before being used for decision making.</t>
  </si>
  <si>
    <t>It is a more detailed business case through to Cashflows (Real Terms) with Project Funding and Accounting added (Nominal Terms)</t>
  </si>
  <si>
    <t>You will need to adapt this to the configuration of your own social enterprise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</si>
</sst>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numFmt numFmtId="167" formatCode="#,##0.0;[Red]\-#,##0.0"/>
  </numFmts>
  <fonts count="134" x14ac:knownFonts="1">
    <font>
      <sz val="11"/>
      <color theme="1"/>
      <name val="Calibri"/>
      <family val="2"/>
      <scheme val="minor"/>
    </font>
    <font>
      <sz val="12"/>
      <color theme="1"/>
      <name val="Calibri"/>
      <family val="2"/>
      <scheme val="minor"/>
    </font>
    <font>
      <sz val="12"/>
      <color theme="1"/>
      <name val="Calibri"/>
      <family val="2"/>
      <scheme val="minor"/>
    </font>
    <font>
      <sz val="10"/>
      <color indexed="12"/>
      <name val="Arial"/>
      <family val="2"/>
    </font>
    <font>
      <b/>
      <sz val="16"/>
      <color indexed="12"/>
      <name val="Arial"/>
      <family val="2"/>
    </font>
    <font>
      <sz val="11"/>
      <color theme="1"/>
      <name val="Calibri"/>
      <family val="2"/>
      <scheme val="minor"/>
    </font>
    <font>
      <sz val="10"/>
      <color rgb="FF0033CC"/>
      <name val="Arial"/>
      <family val="2"/>
    </font>
    <font>
      <b/>
      <sz val="12"/>
      <color theme="1"/>
      <name val="Calibri"/>
      <family val="2"/>
      <scheme val="minor"/>
    </font>
    <font>
      <b/>
      <sz val="12"/>
      <color rgb="FF000099"/>
      <name val="Calibri"/>
      <family val="2"/>
      <scheme val="minor"/>
    </font>
    <font>
      <b/>
      <sz val="14"/>
      <color theme="1"/>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8"/>
      <color rgb="FFFF0000"/>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12"/>
      <color indexed="12"/>
      <name val="Arial"/>
      <family val="2"/>
    </font>
    <font>
      <sz val="12"/>
      <color rgb="FF0033CC"/>
      <name val="Arial"/>
      <family val="2"/>
    </font>
    <font>
      <sz val="10"/>
      <name val="Arial"/>
      <family val="2"/>
    </font>
    <font>
      <sz val="10"/>
      <name val="Calibri"/>
      <family val="2"/>
      <scheme val="minor"/>
    </font>
    <font>
      <sz val="14"/>
      <name val="Calibri"/>
      <family val="2"/>
      <scheme val="minor"/>
    </font>
    <font>
      <sz val="12"/>
      <color rgb="FF00B050"/>
      <name val="Calibri"/>
      <family val="2"/>
      <scheme val="minor"/>
    </font>
    <font>
      <b/>
      <sz val="12"/>
      <color rgb="FFFF0000"/>
      <name val="Calibri"/>
      <family val="2"/>
      <scheme val="minor"/>
    </font>
    <font>
      <b/>
      <sz val="12"/>
      <color theme="9" tint="0.59999389629810485"/>
      <name val="Calibri"/>
      <family val="2"/>
      <scheme val="minor"/>
    </font>
    <font>
      <sz val="12"/>
      <color rgb="FFFF00FF"/>
      <name val="Calibri"/>
      <family val="2"/>
      <scheme val="minor"/>
    </font>
    <font>
      <b/>
      <sz val="12"/>
      <color rgb="FF0033CC"/>
      <name val="Calibri"/>
      <family val="2"/>
      <scheme val="minor"/>
    </font>
    <font>
      <b/>
      <sz val="12"/>
      <name val="Calibri"/>
      <family val="2"/>
      <scheme val="minor"/>
    </font>
    <font>
      <sz val="12"/>
      <name val="Calibri"/>
      <family val="2"/>
      <scheme val="minor"/>
    </font>
    <font>
      <sz val="12"/>
      <color rgb="FF0070C0"/>
      <name val="Calibri"/>
      <family val="2"/>
      <scheme val="minor"/>
    </font>
    <font>
      <sz val="12"/>
      <color rgb="FF000099"/>
      <name val="Calibri"/>
      <family val="2"/>
      <scheme val="minor"/>
    </font>
    <font>
      <sz val="12"/>
      <color rgb="FF0033CC"/>
      <name val="Calibri"/>
      <family val="2"/>
      <scheme val="minor"/>
    </font>
    <font>
      <b/>
      <sz val="28"/>
      <color rgb="FFFF0000"/>
      <name val="Calibri"/>
      <family val="2"/>
      <scheme val="minor"/>
    </font>
    <font>
      <b/>
      <sz val="18"/>
      <color rgb="FF0033CC"/>
      <name val="Calibri"/>
      <family val="2"/>
      <scheme val="minor"/>
    </font>
    <font>
      <sz val="18"/>
      <color theme="1"/>
      <name val="Calibri"/>
      <family val="2"/>
      <scheme val="minor"/>
    </font>
    <font>
      <sz val="12"/>
      <color theme="0" tint="-0.14999847407452621"/>
      <name val="Calibri"/>
      <family val="2"/>
      <scheme val="minor"/>
    </font>
    <font>
      <b/>
      <sz val="20"/>
      <color indexed="12"/>
      <name val="Arial"/>
      <family val="2"/>
    </font>
    <font>
      <sz val="12"/>
      <name val="Arial"/>
      <family val="2"/>
    </font>
    <font>
      <b/>
      <sz val="14"/>
      <color indexed="10"/>
      <name val="Calibri"/>
      <family val="2"/>
    </font>
    <font>
      <sz val="10"/>
      <color rgb="FF008000"/>
      <name val="Calibri"/>
      <family val="2"/>
      <scheme val="minor"/>
    </font>
    <font>
      <sz val="18"/>
      <color rgb="FF00B050"/>
      <name val="Calibri"/>
      <family val="2"/>
      <scheme val="minor"/>
    </font>
    <font>
      <b/>
      <sz val="18"/>
      <color rgb="FF00B050"/>
      <name val="Calibri"/>
      <family val="2"/>
      <scheme val="minor"/>
    </font>
    <font>
      <b/>
      <sz val="16"/>
      <color theme="1"/>
      <name val="Calibri"/>
      <family val="2"/>
      <scheme val="minor"/>
    </font>
    <font>
      <sz val="16"/>
      <color theme="1"/>
      <name val="Calibri"/>
      <family val="2"/>
      <scheme val="minor"/>
    </font>
    <font>
      <b/>
      <sz val="18"/>
      <color rgb="FF189C34"/>
      <name val="Calibri"/>
      <family val="2"/>
      <scheme val="minor"/>
    </font>
    <font>
      <sz val="18"/>
      <color rgb="FF189C34"/>
      <name val="Calibri"/>
      <family val="2"/>
      <scheme val="minor"/>
    </font>
    <font>
      <sz val="12"/>
      <color rgb="FF189C34"/>
      <name val="Calibri"/>
      <family val="2"/>
      <scheme val="minor"/>
    </font>
    <font>
      <b/>
      <sz val="12"/>
      <color rgb="FF189C34"/>
      <name val="Calibri"/>
      <family val="2"/>
      <scheme val="minor"/>
    </font>
    <font>
      <b/>
      <sz val="16"/>
      <color rgb="FFFF0000"/>
      <name val="Calibri"/>
      <family val="2"/>
      <scheme val="minor"/>
    </font>
    <font>
      <b/>
      <sz val="14"/>
      <color rgb="FFFF00FF"/>
      <name val="Arial"/>
      <family val="2"/>
    </font>
    <font>
      <sz val="16"/>
      <color rgb="FFFF0000"/>
      <name val="Calibri"/>
      <family val="2"/>
      <scheme val="minor"/>
    </font>
    <font>
      <b/>
      <sz val="11"/>
      <color theme="1"/>
      <name val="Calibri"/>
      <family val="2"/>
      <scheme val="minor"/>
    </font>
    <font>
      <b/>
      <sz val="12"/>
      <color rgb="FF0070C0"/>
      <name val="Calibri"/>
      <family val="2"/>
      <scheme val="minor"/>
    </font>
    <font>
      <sz val="12"/>
      <color rgb="FFFF0000"/>
      <name val="Calibri"/>
      <family val="2"/>
      <scheme val="minor"/>
    </font>
    <font>
      <b/>
      <sz val="24"/>
      <color rgb="FFFF0000"/>
      <name val="Calibri"/>
      <family val="2"/>
      <scheme val="minor"/>
    </font>
    <font>
      <b/>
      <sz val="12"/>
      <color rgb="FFFF66CC"/>
      <name val="Calibri"/>
      <family val="2"/>
      <scheme val="minor"/>
    </font>
    <font>
      <u/>
      <sz val="12"/>
      <color rgb="FF0070C0"/>
      <name val="Calibri"/>
      <family val="2"/>
      <scheme val="minor"/>
    </font>
    <font>
      <b/>
      <i/>
      <sz val="18"/>
      <color rgb="FFFF0000"/>
      <name val="Calibri"/>
      <family val="2"/>
      <scheme val="minor"/>
    </font>
    <font>
      <i/>
      <sz val="12"/>
      <color theme="1"/>
      <name val="Calibri"/>
      <family val="2"/>
      <scheme val="minor"/>
    </font>
    <font>
      <i/>
      <sz val="12"/>
      <color rgb="FF0033CC"/>
      <name val="Calibri"/>
      <family val="2"/>
      <scheme val="minor"/>
    </font>
    <font>
      <b/>
      <i/>
      <sz val="12"/>
      <color theme="1"/>
      <name val="Calibri"/>
      <family val="2"/>
      <scheme val="minor"/>
    </font>
    <font>
      <b/>
      <i/>
      <sz val="18"/>
      <color theme="1"/>
      <name val="Calibri"/>
      <family val="2"/>
      <scheme val="minor"/>
    </font>
    <font>
      <i/>
      <sz val="16"/>
      <color rgb="FFFF0000"/>
      <name val="Calibri"/>
      <family val="2"/>
      <scheme val="minor"/>
    </font>
    <font>
      <b/>
      <i/>
      <sz val="12"/>
      <color rgb="FF0033CC"/>
      <name val="Calibri"/>
      <family val="2"/>
      <scheme val="minor"/>
    </font>
    <font>
      <b/>
      <i/>
      <sz val="16"/>
      <color theme="1"/>
      <name val="Calibri"/>
      <family val="2"/>
      <scheme val="minor"/>
    </font>
    <font>
      <i/>
      <sz val="12"/>
      <color rgb="FF0070C0"/>
      <name val="Calibri"/>
      <family val="2"/>
      <scheme val="minor"/>
    </font>
    <font>
      <b/>
      <i/>
      <sz val="28"/>
      <color rgb="FFFF0000"/>
      <name val="Calibri"/>
      <family val="2"/>
      <scheme val="minor"/>
    </font>
    <font>
      <b/>
      <i/>
      <sz val="16"/>
      <color rgb="FFFF66CC"/>
      <name val="Calibri"/>
      <family val="2"/>
      <scheme val="minor"/>
    </font>
    <font>
      <i/>
      <sz val="18"/>
      <color theme="1"/>
      <name val="Calibri"/>
      <family val="2"/>
      <scheme val="minor"/>
    </font>
    <font>
      <i/>
      <sz val="26"/>
      <color rgb="FFFF66CC"/>
      <name val="Calibri"/>
      <family val="2"/>
      <scheme val="minor"/>
    </font>
    <font>
      <u/>
      <sz val="11"/>
      <color theme="11"/>
      <name val="Calibri"/>
      <family val="2"/>
      <scheme val="minor"/>
    </font>
    <font>
      <b/>
      <sz val="12"/>
      <color rgb="FFFF00FF"/>
      <name val="Calibri"/>
      <family val="2"/>
      <scheme val="minor"/>
    </font>
    <font>
      <sz val="12"/>
      <color rgb="FF008000"/>
      <name val="Calibri"/>
      <family val="2"/>
      <scheme val="minor"/>
    </font>
    <font>
      <b/>
      <i/>
      <sz val="12"/>
      <color rgb="FF000099"/>
      <name val="Calibri"/>
      <family val="2"/>
      <scheme val="minor"/>
    </font>
    <font>
      <b/>
      <sz val="11"/>
      <color rgb="FF189C34"/>
      <name val="Calibri"/>
      <family val="2"/>
      <scheme val="minor"/>
    </font>
    <font>
      <b/>
      <sz val="22"/>
      <color rgb="FFFF0000"/>
      <name val="Calibri"/>
      <family val="2"/>
      <scheme val="minor"/>
    </font>
    <font>
      <b/>
      <sz val="16"/>
      <name val="Calibri"/>
      <family val="2"/>
    </font>
    <font>
      <b/>
      <u/>
      <sz val="16"/>
      <color rgb="FF0070C0"/>
      <name val="Calibri"/>
      <family val="2"/>
    </font>
    <font>
      <b/>
      <sz val="16"/>
      <color rgb="FFFF66CC"/>
      <name val="Calibri"/>
      <family val="2"/>
    </font>
    <font>
      <b/>
      <sz val="11"/>
      <color rgb="FF008000"/>
      <name val="Calibri"/>
      <family val="2"/>
      <scheme val="minor"/>
    </font>
    <font>
      <sz val="14"/>
      <color rgb="FF0070C0"/>
      <name val="Calibri"/>
      <family val="2"/>
      <scheme val="minor"/>
    </font>
    <font>
      <sz val="11"/>
      <color rgb="FF189C34"/>
      <name val="Calibri"/>
      <family val="2"/>
      <scheme val="minor"/>
    </font>
    <font>
      <sz val="10"/>
      <color rgb="FF00B050"/>
      <name val="Calibri"/>
      <family val="2"/>
      <scheme val="minor"/>
    </font>
    <font>
      <sz val="10"/>
      <color rgb="FF189C34"/>
      <name val="Calibri"/>
      <family val="2"/>
      <scheme val="minor"/>
    </font>
    <font>
      <b/>
      <sz val="10"/>
      <color rgb="FF189C34"/>
      <name val="Calibri"/>
      <family val="2"/>
      <scheme val="minor"/>
    </font>
    <font>
      <i/>
      <sz val="10"/>
      <color theme="1"/>
      <name val="Calibri"/>
      <family val="2"/>
      <scheme val="minor"/>
    </font>
    <font>
      <i/>
      <sz val="10"/>
      <color rgb="FF0033CC"/>
      <name val="Calibri"/>
      <family val="2"/>
      <scheme val="minor"/>
    </font>
    <font>
      <b/>
      <i/>
      <sz val="26"/>
      <color rgb="FFFF0000"/>
      <name val="Calibri"/>
      <family val="2"/>
      <scheme val="minor"/>
    </font>
    <font>
      <i/>
      <sz val="26"/>
      <color theme="1"/>
      <name val="Calibri"/>
      <family val="2"/>
      <scheme val="minor"/>
    </font>
    <font>
      <b/>
      <i/>
      <sz val="22"/>
      <color rgb="FFFF0000"/>
      <name val="Calibri"/>
      <family val="2"/>
      <scheme val="minor"/>
    </font>
    <font>
      <i/>
      <sz val="22"/>
      <color rgb="FFFF0000"/>
      <name val="Calibri"/>
      <family val="2"/>
      <scheme val="minor"/>
    </font>
    <font>
      <i/>
      <sz val="18"/>
      <color rgb="FFFF0000"/>
      <name val="Calibri"/>
      <family val="2"/>
      <scheme val="minor"/>
    </font>
    <font>
      <sz val="10"/>
      <color rgb="FF0033CC"/>
      <name val="Calibri"/>
      <family val="2"/>
      <scheme val="minor"/>
    </font>
    <font>
      <b/>
      <i/>
      <sz val="16"/>
      <color rgb="FFFF0000"/>
      <name val="Calibri"/>
      <family val="2"/>
      <scheme val="minor"/>
    </font>
    <font>
      <i/>
      <sz val="14"/>
      <color rgb="FF0070C0"/>
      <name val="Calibri"/>
      <family val="2"/>
      <scheme val="minor"/>
    </font>
    <font>
      <i/>
      <sz val="12"/>
      <color rgb="FF189C34"/>
      <name val="Calibri"/>
      <family val="2"/>
      <scheme val="minor"/>
    </font>
    <font>
      <i/>
      <sz val="10"/>
      <color rgb="FF189C34"/>
      <name val="Calibri"/>
      <family val="2"/>
      <scheme val="minor"/>
    </font>
    <font>
      <b/>
      <i/>
      <sz val="12"/>
      <color rgb="FF189C34"/>
      <name val="Calibri"/>
      <family val="2"/>
      <scheme val="minor"/>
    </font>
    <font>
      <sz val="10"/>
      <color rgb="FF000099"/>
      <name val="Calibri"/>
      <family val="2"/>
      <scheme val="minor"/>
    </font>
    <font>
      <sz val="16"/>
      <color rgb="FF189C34"/>
      <name val="Calibri"/>
      <family val="2"/>
      <scheme val="minor"/>
    </font>
    <font>
      <b/>
      <sz val="16"/>
      <color rgb="FF189C34"/>
      <name val="Calibri"/>
      <family val="2"/>
      <scheme val="minor"/>
    </font>
    <font>
      <b/>
      <sz val="10"/>
      <color rgb="FFFF0000"/>
      <name val="Calibri"/>
      <family val="2"/>
      <scheme val="minor"/>
    </font>
    <font>
      <sz val="20"/>
      <color rgb="FFFF0000"/>
      <name val="Calibri"/>
      <family val="2"/>
      <scheme val="minor"/>
    </font>
    <font>
      <sz val="11"/>
      <color rgb="FF0033CC"/>
      <name val="Calibri"/>
      <family val="2"/>
      <scheme val="minor"/>
    </font>
    <font>
      <b/>
      <u/>
      <sz val="11"/>
      <color rgb="FF0033CC"/>
      <name val="Calibri"/>
      <family val="2"/>
      <scheme val="minor"/>
    </font>
    <font>
      <sz val="10"/>
      <color rgb="FF0070C0"/>
      <name val="Calibri"/>
      <family val="2"/>
      <scheme val="minor"/>
    </font>
    <font>
      <b/>
      <sz val="9"/>
      <color rgb="FF189C34"/>
      <name val="Calibri"/>
      <family val="2"/>
      <scheme val="minor"/>
    </font>
    <font>
      <sz val="9"/>
      <color theme="1"/>
      <name val="Calibri"/>
      <family val="2"/>
      <scheme val="minor"/>
    </font>
    <font>
      <sz val="9"/>
      <color rgb="FF189C34"/>
      <name val="Calibri"/>
      <family val="2"/>
      <scheme val="minor"/>
    </font>
    <font>
      <sz val="10"/>
      <color rgb="FFFF0000"/>
      <name val="Calibri"/>
      <family val="2"/>
      <scheme val="minor"/>
    </font>
    <font>
      <b/>
      <sz val="16"/>
      <color rgb="FFFF66CC"/>
      <name val="Calibri"/>
      <family val="2"/>
      <scheme val="minor"/>
    </font>
    <font>
      <sz val="11"/>
      <color rgb="FF00B050"/>
      <name val="Calibri"/>
      <family val="2"/>
      <scheme val="minor"/>
    </font>
    <font>
      <b/>
      <sz val="11"/>
      <color rgb="FF0033CC"/>
      <name val="Calibri"/>
      <family val="2"/>
      <scheme val="minor"/>
    </font>
    <font>
      <sz val="11"/>
      <color rgb="FF000099"/>
      <name val="Calibri"/>
      <family val="2"/>
      <scheme val="minor"/>
    </font>
    <font>
      <sz val="14"/>
      <color rgb="FFFF0000"/>
      <name val="Calibri"/>
      <family val="2"/>
      <scheme val="minor"/>
    </font>
    <font>
      <i/>
      <sz val="14"/>
      <color rgb="FFFF0000"/>
      <name val="Calibri"/>
      <family val="2"/>
      <scheme val="minor"/>
    </font>
    <font>
      <i/>
      <sz val="11"/>
      <color rgb="FF0033CC"/>
      <name val="Calibri"/>
      <family val="2"/>
      <scheme val="minor"/>
    </font>
    <font>
      <b/>
      <i/>
      <sz val="11"/>
      <color theme="1"/>
      <name val="Calibri"/>
      <family val="2"/>
      <scheme val="minor"/>
    </font>
    <font>
      <u/>
      <sz val="12"/>
      <color rgb="FFFF0000"/>
      <name val="Calibri"/>
      <family val="2"/>
      <scheme val="minor"/>
    </font>
    <font>
      <i/>
      <u/>
      <sz val="10"/>
      <color theme="1"/>
      <name val="Calibri"/>
      <family val="2"/>
      <scheme val="minor"/>
    </font>
    <font>
      <b/>
      <i/>
      <sz val="12"/>
      <color rgb="FF0070C0"/>
      <name val="Calibri"/>
      <family val="2"/>
      <scheme val="minor"/>
    </font>
    <font>
      <i/>
      <sz val="16"/>
      <color rgb="FFFF66CC"/>
      <name val="Calibri"/>
      <family val="2"/>
      <scheme val="minor"/>
    </font>
    <font>
      <i/>
      <sz val="11"/>
      <color theme="1"/>
      <name val="Calibri"/>
      <family val="2"/>
      <scheme val="minor"/>
    </font>
    <font>
      <i/>
      <sz val="9"/>
      <color theme="1"/>
      <name val="Calibri"/>
      <family val="2"/>
      <scheme val="minor"/>
    </font>
    <font>
      <i/>
      <sz val="11"/>
      <color rgb="FF189C34"/>
      <name val="Calibri"/>
      <family val="2"/>
      <scheme val="minor"/>
    </font>
    <font>
      <b/>
      <i/>
      <sz val="11"/>
      <color rgb="FF189C34"/>
      <name val="Calibri"/>
      <family val="2"/>
      <scheme val="minor"/>
    </font>
    <font>
      <i/>
      <sz val="9"/>
      <color rgb="FF189C34"/>
      <name val="Calibri"/>
      <family val="2"/>
      <scheme val="minor"/>
    </font>
    <font>
      <b/>
      <i/>
      <sz val="10"/>
      <color rgb="FFFF0000"/>
      <name val="Calibri"/>
      <family val="2"/>
      <scheme val="minor"/>
    </font>
    <font>
      <b/>
      <i/>
      <sz val="24"/>
      <color rgb="FFFF0000"/>
      <name val="Calibri"/>
      <family val="2"/>
      <scheme val="minor"/>
    </font>
    <font>
      <b/>
      <sz val="16"/>
      <color indexed="10"/>
      <name val="Calibri"/>
      <family val="2"/>
    </font>
    <font>
      <b/>
      <sz val="14"/>
      <name val="Calibri"/>
      <family val="2"/>
    </font>
    <font>
      <b/>
      <u/>
      <sz val="14"/>
      <name val="Calibri"/>
      <family val="2"/>
    </font>
    <font>
      <sz val="14"/>
      <name val="Calibri"/>
      <family val="2"/>
    </font>
    <font>
      <u/>
      <sz val="14"/>
      <name val="Calibri"/>
      <family val="2"/>
    </font>
  </fonts>
  <fills count="8">
    <fill>
      <patternFill patternType="none"/>
    </fill>
    <fill>
      <patternFill patternType="gray125"/>
    </fill>
    <fill>
      <patternFill patternType="solid">
        <fgColor rgb="FF99CCFF"/>
        <bgColor indexed="64"/>
      </patternFill>
    </fill>
    <fill>
      <patternFill patternType="solid">
        <fgColor rgb="FFCCFFCC"/>
        <bgColor indexed="64"/>
      </patternFill>
    </fill>
    <fill>
      <patternFill patternType="solid">
        <fgColor rgb="FFF3FAFF"/>
        <bgColor indexed="64"/>
      </patternFill>
    </fill>
    <fill>
      <patternFill patternType="solid">
        <fgColor rgb="FFE7F6FF"/>
        <bgColor indexed="64"/>
      </patternFill>
    </fill>
    <fill>
      <patternFill patternType="solid">
        <fgColor rgb="FFDCFFB9"/>
        <bgColor indexed="64"/>
      </patternFill>
    </fill>
    <fill>
      <patternFill patternType="solid">
        <fgColor rgb="FFE7FFE7"/>
        <bgColor indexed="64"/>
      </patternFill>
    </fill>
  </fills>
  <borders count="10">
    <border>
      <left/>
      <right/>
      <top/>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thin">
        <color auto="1"/>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s>
  <cellStyleXfs count="21">
    <xf numFmtId="0" fontId="0" fillId="0" borderId="0"/>
    <xf numFmtId="9" fontId="5" fillId="0" borderId="0" applyFon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cellStyleXfs>
  <cellXfs count="495">
    <xf numFmtId="0" fontId="0" fillId="0" borderId="0" xfId="0"/>
    <xf numFmtId="0" fontId="7" fillId="0" borderId="0" xfId="0" applyFont="1" applyAlignment="1">
      <alignment horizontal="center"/>
    </xf>
    <xf numFmtId="9" fontId="8" fillId="2" borderId="0" xfId="0" applyNumberFormat="1" applyFont="1" applyFill="1" applyAlignment="1">
      <alignment horizontal="center"/>
    </xf>
    <xf numFmtId="0" fontId="0" fillId="0" borderId="0" xfId="0" applyFont="1"/>
    <xf numFmtId="0" fontId="10" fillId="0" borderId="0" xfId="0" applyFont="1" applyAlignment="1">
      <alignment horizontal="center"/>
    </xf>
    <xf numFmtId="0" fontId="12" fillId="0" borderId="0" xfId="0" applyFont="1"/>
    <xf numFmtId="0" fontId="0" fillId="0" borderId="0" xfId="0" applyAlignment="1">
      <alignment vertical="center"/>
    </xf>
    <xf numFmtId="0" fontId="7" fillId="0" borderId="0" xfId="0" applyFont="1" applyAlignment="1">
      <alignment horizontal="center" vertical="center"/>
    </xf>
    <xf numFmtId="0" fontId="10" fillId="0" borderId="0" xfId="0" applyFont="1"/>
    <xf numFmtId="0" fontId="7" fillId="0" borderId="0" xfId="0" applyFont="1"/>
    <xf numFmtId="0" fontId="3" fillId="0" borderId="0" xfId="0" applyFont="1" applyFill="1"/>
    <xf numFmtId="15" fontId="3" fillId="0" borderId="0" xfId="0" applyNumberFormat="1" applyFont="1" applyFill="1"/>
    <xf numFmtId="0" fontId="3" fillId="0" borderId="0" xfId="0" applyFont="1" applyFill="1" applyAlignment="1">
      <alignment horizontal="center"/>
    </xf>
    <xf numFmtId="15" fontId="6" fillId="0" borderId="0" xfId="0" applyNumberFormat="1" applyFont="1" applyFill="1" applyAlignment="1">
      <alignment horizontal="center"/>
    </xf>
    <xf numFmtId="0" fontId="14" fillId="0" borderId="0" xfId="0" applyFont="1"/>
    <xf numFmtId="0" fontId="14" fillId="0" borderId="0" xfId="0" applyFont="1" applyFill="1"/>
    <xf numFmtId="0" fontId="16" fillId="0" borderId="0" xfId="0" applyFont="1"/>
    <xf numFmtId="3" fontId="10" fillId="0" borderId="0" xfId="0" applyNumberFormat="1" applyFont="1"/>
    <xf numFmtId="0" fontId="17" fillId="0" borderId="0" xfId="0" applyFont="1" applyFill="1"/>
    <xf numFmtId="15" fontId="17" fillId="0" borderId="0" xfId="0" applyNumberFormat="1" applyFont="1" applyFill="1"/>
    <xf numFmtId="0" fontId="10" fillId="0" borderId="0" xfId="0" applyFont="1" applyFill="1"/>
    <xf numFmtId="0" fontId="17" fillId="0" borderId="0" xfId="0" applyFont="1" applyFill="1" applyAlignment="1">
      <alignment horizontal="center"/>
    </xf>
    <xf numFmtId="15" fontId="18" fillId="0" borderId="0" xfId="0" applyNumberFormat="1" applyFont="1" applyFill="1" applyAlignment="1">
      <alignment horizontal="center"/>
    </xf>
    <xf numFmtId="0" fontId="20" fillId="0" borderId="0" xfId="0" applyFont="1" applyFill="1"/>
    <xf numFmtId="0" fontId="19" fillId="0" borderId="0" xfId="0" applyFont="1" applyFill="1" applyAlignment="1">
      <alignment horizontal="center"/>
    </xf>
    <xf numFmtId="15" fontId="19" fillId="0" borderId="0" xfId="0" applyNumberFormat="1" applyFont="1" applyFill="1" applyAlignment="1">
      <alignment horizontal="center"/>
    </xf>
    <xf numFmtId="0" fontId="20" fillId="0" borderId="0" xfId="0" applyFont="1"/>
    <xf numFmtId="0" fontId="21" fillId="0" borderId="0" xfId="0" applyFont="1"/>
    <xf numFmtId="0" fontId="13" fillId="0" borderId="0" xfId="0" applyFont="1" applyAlignment="1">
      <alignment vertical="center"/>
    </xf>
    <xf numFmtId="0" fontId="14" fillId="0" borderId="0" xfId="0" applyFont="1" applyAlignment="1">
      <alignment vertical="center"/>
    </xf>
    <xf numFmtId="0" fontId="14" fillId="0" borderId="0" xfId="0" applyFont="1" applyFill="1" applyAlignment="1">
      <alignment vertical="center"/>
    </xf>
    <xf numFmtId="0" fontId="4" fillId="4" borderId="0" xfId="0" applyFont="1" applyFill="1" applyAlignment="1">
      <alignment vertical="center"/>
    </xf>
    <xf numFmtId="0" fontId="22" fillId="3"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24" fillId="0" borderId="0" xfId="0" applyFont="1"/>
    <xf numFmtId="164" fontId="7" fillId="0" borderId="0" xfId="1" applyNumberFormat="1" applyFont="1" applyAlignment="1">
      <alignment horizontal="center"/>
    </xf>
    <xf numFmtId="0" fontId="25" fillId="0" borderId="0" xfId="0" applyFont="1" applyAlignment="1">
      <alignment horizontal="center"/>
    </xf>
    <xf numFmtId="0" fontId="23" fillId="0" borderId="0" xfId="0" applyFont="1"/>
    <xf numFmtId="3" fontId="7" fillId="0" borderId="0" xfId="0" applyNumberFormat="1" applyFont="1" applyAlignment="1">
      <alignment horizontal="center"/>
    </xf>
    <xf numFmtId="3" fontId="10" fillId="0" borderId="0" xfId="0" applyNumberFormat="1" applyFont="1" applyAlignment="1">
      <alignment horizontal="center"/>
    </xf>
    <xf numFmtId="3" fontId="7" fillId="0" borderId="0" xfId="0" applyNumberFormat="1" applyFont="1"/>
    <xf numFmtId="0" fontId="30" fillId="2" borderId="0" xfId="0" applyFont="1" applyFill="1" applyAlignment="1">
      <alignment horizontal="center"/>
    </xf>
    <xf numFmtId="0" fontId="29" fillId="0" borderId="0" xfId="0" applyFont="1"/>
    <xf numFmtId="165" fontId="10" fillId="0" borderId="0" xfId="0" applyNumberFormat="1" applyFont="1" applyAlignment="1">
      <alignment horizontal="center"/>
    </xf>
    <xf numFmtId="3" fontId="26" fillId="5" borderId="0" xfId="0" applyNumberFormat="1" applyFont="1" applyFill="1" applyAlignment="1">
      <alignment horizontal="center"/>
    </xf>
    <xf numFmtId="3" fontId="10" fillId="0" borderId="0" xfId="0" applyNumberFormat="1" applyFont="1" applyAlignment="1">
      <alignment vertical="center"/>
    </xf>
    <xf numFmtId="0" fontId="32"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center"/>
    </xf>
    <xf numFmtId="3" fontId="31" fillId="5" borderId="0" xfId="0" applyNumberFormat="1" applyFont="1" applyFill="1" applyAlignment="1">
      <alignment horizontal="center"/>
    </xf>
    <xf numFmtId="3" fontId="31" fillId="5" borderId="0" xfId="0" applyNumberFormat="1" applyFont="1" applyFill="1"/>
    <xf numFmtId="0" fontId="27" fillId="0" borderId="0" xfId="0" applyFont="1" applyAlignment="1">
      <alignment vertical="center"/>
    </xf>
    <xf numFmtId="164" fontId="27" fillId="0" borderId="0" xfId="1" applyNumberFormat="1" applyFont="1" applyAlignment="1">
      <alignment horizontal="center" vertical="center"/>
    </xf>
    <xf numFmtId="0" fontId="28" fillId="0" borderId="0" xfId="0" applyFont="1"/>
    <xf numFmtId="0" fontId="36" fillId="4" borderId="0" xfId="0" applyFont="1" applyFill="1" applyAlignment="1">
      <alignment vertical="center"/>
    </xf>
    <xf numFmtId="0" fontId="28" fillId="0" borderId="0" xfId="2" applyFont="1" applyFill="1"/>
    <xf numFmtId="0" fontId="37" fillId="0" borderId="0" xfId="0" applyFont="1" applyFill="1"/>
    <xf numFmtId="0" fontId="38" fillId="0" borderId="0" xfId="0" applyFont="1" applyFill="1" applyAlignment="1">
      <alignment vertical="center"/>
    </xf>
    <xf numFmtId="9" fontId="10" fillId="0" borderId="1" xfId="1" applyFont="1" applyBorder="1" applyAlignment="1">
      <alignment horizontal="center"/>
    </xf>
    <xf numFmtId="9" fontId="31" fillId="5" borderId="0" xfId="1" applyFont="1" applyFill="1" applyAlignment="1">
      <alignment horizontal="center"/>
    </xf>
    <xf numFmtId="0" fontId="40" fillId="3" borderId="0" xfId="0" applyFont="1" applyFill="1" applyAlignment="1">
      <alignment vertical="center"/>
    </xf>
    <xf numFmtId="3" fontId="10" fillId="0" borderId="0" xfId="0" applyNumberFormat="1" applyFont="1" applyAlignment="1">
      <alignment horizontal="center" vertical="center"/>
    </xf>
    <xf numFmtId="0" fontId="41" fillId="3" borderId="0" xfId="0" applyFont="1" applyFill="1" applyAlignment="1">
      <alignment vertical="center"/>
    </xf>
    <xf numFmtId="3" fontId="39" fillId="6" borderId="0" xfId="0" applyNumberFormat="1" applyFont="1" applyFill="1" applyAlignment="1">
      <alignment horizontal="center"/>
    </xf>
    <xf numFmtId="3" fontId="10" fillId="0" borderId="1" xfId="0" applyNumberFormat="1" applyFont="1" applyBorder="1" applyAlignment="1">
      <alignment horizontal="center"/>
    </xf>
    <xf numFmtId="3" fontId="7" fillId="0" borderId="1" xfId="0" applyNumberFormat="1" applyFont="1" applyBorder="1" applyAlignment="1">
      <alignment horizontal="center"/>
    </xf>
    <xf numFmtId="3" fontId="42" fillId="0" borderId="0" xfId="0" applyNumberFormat="1" applyFont="1"/>
    <xf numFmtId="3" fontId="42" fillId="0" borderId="0" xfId="0" applyNumberFormat="1" applyFont="1" applyAlignment="1">
      <alignment horizontal="center"/>
    </xf>
    <xf numFmtId="3" fontId="43" fillId="0" borderId="0" xfId="0" applyNumberFormat="1" applyFont="1" applyAlignment="1">
      <alignment vertical="center"/>
    </xf>
    <xf numFmtId="0" fontId="43" fillId="0" borderId="0" xfId="0" applyFont="1" applyAlignment="1">
      <alignment vertical="center"/>
    </xf>
    <xf numFmtId="3" fontId="43" fillId="0" borderId="0" xfId="0" applyNumberFormat="1" applyFont="1" applyAlignment="1">
      <alignment horizontal="center" vertical="center"/>
    </xf>
    <xf numFmtId="0" fontId="43" fillId="0" borderId="0" xfId="0" applyNumberFormat="1" applyFont="1" applyAlignment="1">
      <alignment horizontal="center" vertical="center"/>
    </xf>
    <xf numFmtId="3" fontId="10" fillId="0" borderId="0" xfId="0" applyNumberFormat="1" applyFont="1" applyBorder="1" applyAlignment="1">
      <alignment horizontal="center"/>
    </xf>
    <xf numFmtId="165" fontId="10" fillId="0" borderId="0" xfId="0" applyNumberFormat="1" applyFont="1" applyAlignment="1">
      <alignment horizontal="center" vertical="center"/>
    </xf>
    <xf numFmtId="3" fontId="11" fillId="0" borderId="0" xfId="0" applyNumberFormat="1" applyFont="1" applyAlignment="1">
      <alignment vertical="center"/>
    </xf>
    <xf numFmtId="3" fontId="11" fillId="0" borderId="0" xfId="0" applyNumberFormat="1" applyFont="1" applyAlignment="1">
      <alignment horizontal="center" vertical="center"/>
    </xf>
    <xf numFmtId="0" fontId="11" fillId="0" borderId="0" xfId="0" applyFont="1" applyAlignment="1">
      <alignment vertical="center"/>
    </xf>
    <xf numFmtId="0" fontId="49" fillId="0" borderId="0" xfId="0" applyFont="1" applyFill="1"/>
    <xf numFmtId="3" fontId="10" fillId="0" borderId="3" xfId="0" applyNumberFormat="1" applyFont="1" applyBorder="1" applyAlignment="1">
      <alignment horizontal="center"/>
    </xf>
    <xf numFmtId="3" fontId="11" fillId="0" borderId="4" xfId="0" applyNumberFormat="1" applyFont="1" applyBorder="1" applyAlignment="1">
      <alignment horizontal="center" vertical="center"/>
    </xf>
    <xf numFmtId="3" fontId="31" fillId="5" borderId="0" xfId="0" quotePrefix="1" applyNumberFormat="1" applyFont="1" applyFill="1"/>
    <xf numFmtId="3" fontId="10" fillId="0" borderId="0" xfId="0" quotePrefix="1" applyNumberFormat="1" applyFont="1"/>
    <xf numFmtId="0" fontId="34" fillId="0" borderId="0" xfId="0" applyFont="1" applyAlignment="1">
      <alignment vertical="center" wrapText="1"/>
    </xf>
    <xf numFmtId="3" fontId="42" fillId="0" borderId="4" xfId="0" applyNumberFormat="1" applyFont="1" applyBorder="1" applyAlignment="1">
      <alignment horizontal="center" vertical="center"/>
    </xf>
    <xf numFmtId="3" fontId="11" fillId="0" borderId="0" xfId="0" applyNumberFormat="1" applyFont="1" applyAlignment="1">
      <alignment horizontal="left" vertical="center"/>
    </xf>
    <xf numFmtId="3" fontId="42" fillId="0" borderId="0" xfId="0" applyNumberFormat="1" applyFont="1" applyAlignment="1">
      <alignment horizontal="center" vertical="center"/>
    </xf>
    <xf numFmtId="0" fontId="48" fillId="0" borderId="0" xfId="0" applyFont="1" applyAlignment="1">
      <alignment vertical="center"/>
    </xf>
    <xf numFmtId="3" fontId="10" fillId="0" borderId="0" xfId="0" applyNumberFormat="1" applyFont="1" applyBorder="1" applyAlignment="1">
      <alignment horizontal="center" vertical="center"/>
    </xf>
    <xf numFmtId="3" fontId="7" fillId="0" borderId="2" xfId="0" applyNumberFormat="1" applyFont="1" applyBorder="1" applyAlignment="1">
      <alignment horizontal="center"/>
    </xf>
    <xf numFmtId="3" fontId="34" fillId="0" borderId="0" xfId="0" applyNumberFormat="1" applyFont="1" applyAlignment="1">
      <alignment vertical="center"/>
    </xf>
    <xf numFmtId="9" fontId="10" fillId="0" borderId="0" xfId="1" applyFont="1"/>
    <xf numFmtId="9" fontId="10" fillId="0" borderId="0" xfId="1" applyFont="1" applyAlignment="1">
      <alignment horizontal="center"/>
    </xf>
    <xf numFmtId="3" fontId="10" fillId="0" borderId="0" xfId="0" applyNumberFormat="1" applyFont="1" applyBorder="1"/>
    <xf numFmtId="0" fontId="29" fillId="0" borderId="0" xfId="0" applyFont="1" applyAlignment="1"/>
    <xf numFmtId="0" fontId="29" fillId="0" borderId="0" xfId="0" applyFont="1" applyAlignment="1">
      <alignment vertical="center"/>
    </xf>
    <xf numFmtId="3" fontId="11" fillId="0" borderId="0" xfId="0" applyNumberFormat="1" applyFont="1" applyBorder="1" applyAlignment="1">
      <alignment vertical="center"/>
    </xf>
    <xf numFmtId="3" fontId="11" fillId="0" borderId="0" xfId="0" applyNumberFormat="1" applyFont="1" applyBorder="1" applyAlignment="1">
      <alignment horizontal="center" vertical="center"/>
    </xf>
    <xf numFmtId="0" fontId="11" fillId="0" borderId="0" xfId="0" applyFont="1" applyBorder="1" applyAlignment="1">
      <alignment vertical="center"/>
    </xf>
    <xf numFmtId="164" fontId="11" fillId="0" borderId="0" xfId="1"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xf>
    <xf numFmtId="3" fontId="10" fillId="0" borderId="0" xfId="0" applyNumberFormat="1" applyFont="1" applyAlignment="1">
      <alignment horizontal="left"/>
    </xf>
    <xf numFmtId="3" fontId="9" fillId="0" borderId="0" xfId="0" quotePrefix="1" applyNumberFormat="1" applyFont="1"/>
    <xf numFmtId="3" fontId="9" fillId="0" borderId="0" xfId="0" applyNumberFormat="1" applyFont="1" applyAlignment="1">
      <alignment horizontal="center"/>
    </xf>
    <xf numFmtId="0" fontId="9" fillId="0" borderId="0" xfId="0" applyFont="1"/>
    <xf numFmtId="3" fontId="9" fillId="0" borderId="4" xfId="0" applyNumberFormat="1" applyFont="1" applyBorder="1" applyAlignment="1">
      <alignment horizontal="center"/>
    </xf>
    <xf numFmtId="3" fontId="23" fillId="0" borderId="0" xfId="0" applyNumberFormat="1" applyFont="1"/>
    <xf numFmtId="0" fontId="43" fillId="0" borderId="0" xfId="0" applyFont="1"/>
    <xf numFmtId="0" fontId="53" fillId="0" borderId="0" xfId="0" applyFont="1"/>
    <xf numFmtId="3" fontId="51" fillId="0" borderId="0" xfId="0" applyNumberFormat="1" applyFont="1" applyAlignment="1">
      <alignment horizontal="center" vertical="center"/>
    </xf>
    <xf numFmtId="3" fontId="0" fillId="0" borderId="0" xfId="0" applyNumberFormat="1" applyFont="1"/>
    <xf numFmtId="9" fontId="7" fillId="0" borderId="0" xfId="1" applyFont="1" applyAlignment="1">
      <alignment horizontal="center"/>
    </xf>
    <xf numFmtId="0" fontId="54" fillId="0" borderId="0" xfId="0" applyFont="1" applyAlignment="1">
      <alignment vertical="center"/>
    </xf>
    <xf numFmtId="0" fontId="53" fillId="0" borderId="0" xfId="0" applyFont="1" applyAlignment="1">
      <alignment vertical="center"/>
    </xf>
    <xf numFmtId="3" fontId="7" fillId="0" borderId="0" xfId="0" applyNumberFormat="1" applyFont="1" applyBorder="1"/>
    <xf numFmtId="3" fontId="7" fillId="0" borderId="0" xfId="0" applyNumberFormat="1" applyFont="1" applyBorder="1" applyAlignment="1">
      <alignment horizontal="center"/>
    </xf>
    <xf numFmtId="165" fontId="7" fillId="0" borderId="2" xfId="0" applyNumberFormat="1" applyFont="1" applyBorder="1" applyAlignment="1">
      <alignment horizontal="center"/>
    </xf>
    <xf numFmtId="0" fontId="55" fillId="0" borderId="0" xfId="0" applyFont="1"/>
    <xf numFmtId="0" fontId="23" fillId="0" borderId="0" xfId="0" applyFont="1" applyAlignment="1"/>
    <xf numFmtId="0" fontId="10" fillId="0" borderId="0" xfId="0" applyFont="1" applyAlignment="1"/>
    <xf numFmtId="3" fontId="11" fillId="0" borderId="6" xfId="0" applyNumberFormat="1" applyFont="1" applyBorder="1" applyAlignment="1">
      <alignment vertical="center"/>
    </xf>
    <xf numFmtId="164" fontId="11" fillId="0" borderId="8" xfId="1" applyNumberFormat="1" applyFont="1" applyBorder="1" applyAlignment="1">
      <alignment horizontal="center" vertical="center"/>
    </xf>
    <xf numFmtId="0" fontId="31" fillId="0" borderId="0" xfId="0" applyFont="1"/>
    <xf numFmtId="0" fontId="56" fillId="0" borderId="0" xfId="0" applyFont="1" applyAlignment="1"/>
    <xf numFmtId="0" fontId="57" fillId="0" borderId="0" xfId="0" applyFont="1" applyAlignment="1">
      <alignment vertical="center"/>
    </xf>
    <xf numFmtId="3" fontId="59" fillId="5" borderId="0" xfId="0" applyNumberFormat="1" applyFont="1" applyFill="1"/>
    <xf numFmtId="3" fontId="58" fillId="0" borderId="0" xfId="0" applyNumberFormat="1" applyFont="1" applyAlignment="1">
      <alignment horizontal="center"/>
    </xf>
    <xf numFmtId="164" fontId="59" fillId="5" borderId="0" xfId="1" applyNumberFormat="1" applyFont="1" applyFill="1" applyAlignment="1">
      <alignment horizontal="center"/>
    </xf>
    <xf numFmtId="0" fontId="58" fillId="0" borderId="0" xfId="0" applyFont="1"/>
    <xf numFmtId="0" fontId="58" fillId="0" borderId="0" xfId="0" applyFont="1" applyBorder="1"/>
    <xf numFmtId="0" fontId="60" fillId="0" borderId="0" xfId="0" applyFont="1" applyBorder="1" applyAlignment="1">
      <alignment horizontal="center"/>
    </xf>
    <xf numFmtId="4" fontId="58" fillId="0" borderId="0" xfId="0" applyNumberFormat="1" applyFont="1" applyBorder="1" applyAlignment="1">
      <alignment horizontal="center"/>
    </xf>
    <xf numFmtId="3" fontId="61" fillId="0" borderId="0" xfId="0" applyNumberFormat="1" applyFont="1" applyAlignment="1">
      <alignment horizontal="center" vertical="center"/>
    </xf>
    <xf numFmtId="3" fontId="58" fillId="0" borderId="0" xfId="0" applyNumberFormat="1" applyFont="1"/>
    <xf numFmtId="3" fontId="60" fillId="0" borderId="0" xfId="0" applyNumberFormat="1" applyFont="1" applyAlignment="1">
      <alignment horizontal="center"/>
    </xf>
    <xf numFmtId="3" fontId="62" fillId="0" borderId="0" xfId="0" applyNumberFormat="1" applyFont="1"/>
    <xf numFmtId="3" fontId="59" fillId="5" borderId="1" xfId="0" applyNumberFormat="1" applyFont="1" applyFill="1" applyBorder="1" applyAlignment="1">
      <alignment horizontal="center"/>
    </xf>
    <xf numFmtId="3" fontId="58" fillId="0" borderId="0" xfId="0" applyNumberFormat="1" applyFont="1" applyBorder="1" applyAlignment="1">
      <alignment horizontal="center"/>
    </xf>
    <xf numFmtId="3" fontId="63" fillId="5" borderId="0" xfId="0" applyNumberFormat="1" applyFont="1" applyFill="1"/>
    <xf numFmtId="3" fontId="63" fillId="5" borderId="0" xfId="0" applyNumberFormat="1" applyFont="1" applyFill="1" applyAlignment="1">
      <alignment horizontal="center"/>
    </xf>
    <xf numFmtId="0" fontId="60" fillId="0" borderId="0" xfId="0" applyFont="1"/>
    <xf numFmtId="9" fontId="63" fillId="5" borderId="0" xfId="1" applyNumberFormat="1" applyFont="1" applyFill="1" applyAlignment="1">
      <alignment horizontal="center"/>
    </xf>
    <xf numFmtId="3" fontId="58" fillId="0" borderId="0" xfId="0" quotePrefix="1" applyNumberFormat="1" applyFont="1"/>
    <xf numFmtId="4" fontId="58" fillId="0" borderId="0" xfId="0" quotePrefix="1" applyNumberFormat="1" applyFont="1" applyAlignment="1">
      <alignment horizontal="center"/>
    </xf>
    <xf numFmtId="3" fontId="58" fillId="0" borderId="2" xfId="0" quotePrefix="1" applyNumberFormat="1" applyFont="1" applyBorder="1" applyAlignment="1">
      <alignment horizontal="center"/>
    </xf>
    <xf numFmtId="3" fontId="60" fillId="0" borderId="2" xfId="0" applyNumberFormat="1" applyFont="1" applyBorder="1" applyAlignment="1">
      <alignment horizontal="center"/>
    </xf>
    <xf numFmtId="0" fontId="12" fillId="0" borderId="0" xfId="0" applyFont="1" applyAlignment="1">
      <alignment vertical="center"/>
    </xf>
    <xf numFmtId="0" fontId="65" fillId="0" borderId="0" xfId="0" applyFont="1"/>
    <xf numFmtId="3" fontId="12" fillId="0" borderId="0" xfId="0" applyNumberFormat="1" applyFont="1" applyAlignment="1">
      <alignment vertical="center"/>
    </xf>
    <xf numFmtId="0" fontId="9" fillId="0" borderId="0" xfId="0" applyNumberFormat="1" applyFont="1" applyAlignment="1">
      <alignment horizontal="center" vertical="center"/>
    </xf>
    <xf numFmtId="0" fontId="66" fillId="0" borderId="0" xfId="0" applyFont="1" applyAlignment="1">
      <alignment vertical="center"/>
    </xf>
    <xf numFmtId="3" fontId="57" fillId="0" borderId="0" xfId="0" applyNumberFormat="1" applyFont="1"/>
    <xf numFmtId="0" fontId="52" fillId="0" borderId="0" xfId="0" applyFont="1" applyAlignment="1">
      <alignment horizontal="center"/>
    </xf>
    <xf numFmtId="0" fontId="67" fillId="0" borderId="0" xfId="0" applyFont="1" applyAlignment="1">
      <alignment vertical="center"/>
    </xf>
    <xf numFmtId="38" fontId="0" fillId="0" borderId="0" xfId="0" applyNumberFormat="1" applyAlignment="1">
      <alignment horizontal="center" vertical="center"/>
    </xf>
    <xf numFmtId="38" fontId="51" fillId="0" borderId="0" xfId="0" applyNumberFormat="1" applyFont="1" applyAlignment="1">
      <alignment horizontal="center" vertical="center"/>
    </xf>
    <xf numFmtId="0" fontId="51" fillId="0" borderId="0" xfId="0" applyFont="1"/>
    <xf numFmtId="15" fontId="6" fillId="0" borderId="0" xfId="0" applyNumberFormat="1" applyFont="1" applyFill="1" applyAlignment="1">
      <alignment horizontal="center" vertical="center"/>
    </xf>
    <xf numFmtId="3" fontId="39" fillId="6" borderId="0" xfId="0" applyNumberFormat="1" applyFont="1" applyFill="1" applyAlignment="1">
      <alignment horizontal="center" vertical="center"/>
    </xf>
    <xf numFmtId="0" fontId="4" fillId="4"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54" fillId="0" borderId="0" xfId="0" applyFont="1"/>
    <xf numFmtId="38" fontId="58" fillId="0" borderId="0" xfId="0" applyNumberFormat="1" applyFont="1" applyAlignment="1">
      <alignment vertical="center"/>
    </xf>
    <xf numFmtId="38" fontId="61" fillId="0" borderId="0" xfId="0" applyNumberFormat="1" applyFont="1" applyAlignment="1">
      <alignment horizontal="center" vertical="center"/>
    </xf>
    <xf numFmtId="38" fontId="10" fillId="0" borderId="0" xfId="0" applyNumberFormat="1" applyFont="1"/>
    <xf numFmtId="38" fontId="10" fillId="0" borderId="0" xfId="0" applyNumberFormat="1" applyFont="1" applyAlignment="1">
      <alignment horizontal="center"/>
    </xf>
    <xf numFmtId="38" fontId="10" fillId="0" borderId="0" xfId="0" applyNumberFormat="1" applyFont="1" applyBorder="1" applyAlignment="1">
      <alignment horizontal="center"/>
    </xf>
    <xf numFmtId="38" fontId="58" fillId="0" borderId="0" xfId="0" applyNumberFormat="1" applyFont="1"/>
    <xf numFmtId="38" fontId="58" fillId="0" borderId="0" xfId="0" applyNumberFormat="1" applyFont="1" applyAlignment="1">
      <alignment horizontal="center"/>
    </xf>
    <xf numFmtId="38" fontId="60" fillId="0" borderId="0" xfId="0" applyNumberFormat="1" applyFont="1" applyAlignment="1">
      <alignment horizontal="center"/>
    </xf>
    <xf numFmtId="38" fontId="59" fillId="5" borderId="1" xfId="0" applyNumberFormat="1" applyFont="1" applyFill="1" applyBorder="1" applyAlignment="1">
      <alignment horizontal="center"/>
    </xf>
    <xf numFmtId="38" fontId="58" fillId="0" borderId="0" xfId="0" quotePrefix="1" applyNumberFormat="1" applyFont="1"/>
    <xf numFmtId="38" fontId="58" fillId="0" borderId="0" xfId="0" quotePrefix="1" applyNumberFormat="1" applyFont="1" applyAlignment="1">
      <alignment horizontal="center"/>
    </xf>
    <xf numFmtId="38" fontId="60" fillId="0" borderId="0" xfId="0" quotePrefix="1" applyNumberFormat="1" applyFont="1"/>
    <xf numFmtId="38" fontId="60" fillId="0" borderId="0" xfId="0" applyNumberFormat="1" applyFont="1"/>
    <xf numFmtId="38" fontId="58" fillId="0" borderId="2" xfId="0" quotePrefix="1" applyNumberFormat="1" applyFont="1" applyBorder="1" applyAlignment="1">
      <alignment horizontal="center"/>
    </xf>
    <xf numFmtId="38" fontId="10" fillId="0" borderId="0" xfId="0" quotePrefix="1" applyNumberFormat="1" applyFont="1"/>
    <xf numFmtId="38" fontId="7" fillId="0" borderId="0" xfId="0" applyNumberFormat="1" applyFont="1" applyAlignment="1">
      <alignment horizontal="center"/>
    </xf>
    <xf numFmtId="38" fontId="63" fillId="5" borderId="1" xfId="0" applyNumberFormat="1" applyFont="1" applyFill="1" applyBorder="1" applyAlignment="1">
      <alignment horizontal="center"/>
    </xf>
    <xf numFmtId="38" fontId="58" fillId="0" borderId="0" xfId="0" applyNumberFormat="1" applyFont="1" applyBorder="1" applyAlignment="1">
      <alignment horizontal="center"/>
    </xf>
    <xf numFmtId="38" fontId="60" fillId="0" borderId="0" xfId="0" applyNumberFormat="1" applyFont="1" applyBorder="1" applyAlignment="1">
      <alignment horizontal="center"/>
    </xf>
    <xf numFmtId="38" fontId="61" fillId="0" borderId="0" xfId="0" applyNumberFormat="1" applyFont="1"/>
    <xf numFmtId="38" fontId="68" fillId="0" borderId="0" xfId="0" applyNumberFormat="1" applyFont="1"/>
    <xf numFmtId="0" fontId="69" fillId="0" borderId="0" xfId="0" applyFont="1" applyAlignment="1">
      <alignment horizontal="left" vertical="center"/>
    </xf>
    <xf numFmtId="38" fontId="0" fillId="0" borderId="0" xfId="0" applyNumberFormat="1"/>
    <xf numFmtId="38" fontId="51" fillId="0" borderId="0" xfId="3" applyNumberFormat="1" applyFont="1" applyAlignment="1">
      <alignment horizontal="center" vertical="center"/>
    </xf>
    <xf numFmtId="38" fontId="0" fillId="0" borderId="0" xfId="3" applyNumberFormat="1" applyFont="1" applyAlignment="1">
      <alignment horizontal="center" vertical="center"/>
    </xf>
    <xf numFmtId="38" fontId="0" fillId="0" borderId="0" xfId="3" applyNumberFormat="1" applyFont="1" applyBorder="1" applyAlignment="1">
      <alignment horizontal="center" vertical="center"/>
    </xf>
    <xf numFmtId="38" fontId="0" fillId="0" borderId="0" xfId="0" applyNumberFormat="1" applyFont="1"/>
    <xf numFmtId="0" fontId="2" fillId="0" borderId="0" xfId="0" applyFont="1"/>
    <xf numFmtId="9" fontId="0" fillId="0" borderId="0" xfId="1" applyFont="1" applyAlignment="1">
      <alignment horizontal="center" vertical="center"/>
    </xf>
    <xf numFmtId="0" fontId="1" fillId="0" borderId="0" xfId="0" applyFont="1" applyAlignment="1">
      <alignment vertical="center"/>
    </xf>
    <xf numFmtId="0" fontId="1" fillId="0" borderId="0" xfId="0" applyFont="1"/>
    <xf numFmtId="0" fontId="52" fillId="4" borderId="0" xfId="0" applyFont="1" applyFill="1" applyAlignment="1">
      <alignment horizontal="center"/>
    </xf>
    <xf numFmtId="0" fontId="71" fillId="4" borderId="0" xfId="0" applyFont="1" applyFill="1" applyAlignment="1">
      <alignment horizontal="center"/>
    </xf>
    <xf numFmtId="3" fontId="72" fillId="6" borderId="0" xfId="0" applyNumberFormat="1" applyFont="1" applyFill="1" applyAlignment="1">
      <alignment horizontal="left"/>
    </xf>
    <xf numFmtId="0" fontId="7" fillId="0" borderId="1" xfId="0" applyFont="1" applyBorder="1" applyAlignment="1">
      <alignment horizontal="center"/>
    </xf>
    <xf numFmtId="0" fontId="73" fillId="4" borderId="0" xfId="0" applyFont="1" applyFill="1" applyAlignment="1">
      <alignment horizontal="center"/>
    </xf>
    <xf numFmtId="3" fontId="9" fillId="0" borderId="0" xfId="0" applyNumberFormat="1" applyFont="1"/>
    <xf numFmtId="9" fontId="9" fillId="0" borderId="0" xfId="1" applyFont="1" applyAlignment="1">
      <alignment horizontal="center"/>
    </xf>
    <xf numFmtId="3" fontId="1" fillId="0" borderId="0" xfId="0" applyNumberFormat="1" applyFont="1" applyAlignment="1">
      <alignment horizontal="center"/>
    </xf>
    <xf numFmtId="4" fontId="31" fillId="5" borderId="0" xfId="0" applyNumberFormat="1" applyFont="1" applyFill="1" applyAlignment="1">
      <alignment horizontal="center"/>
    </xf>
    <xf numFmtId="3" fontId="1" fillId="0" borderId="0" xfId="0" quotePrefix="1" applyNumberFormat="1" applyFont="1"/>
    <xf numFmtId="0" fontId="1" fillId="0" borderId="0" xfId="0" applyFont="1" applyAlignment="1">
      <alignment vertical="top"/>
    </xf>
    <xf numFmtId="0" fontId="7" fillId="0" borderId="0" xfId="0" applyFont="1" applyAlignment="1">
      <alignment horizontal="center" vertical="top"/>
    </xf>
    <xf numFmtId="0" fontId="10" fillId="0" borderId="0" xfId="0" applyFont="1" applyAlignment="1">
      <alignment vertical="top"/>
    </xf>
    <xf numFmtId="0" fontId="44" fillId="7" borderId="0" xfId="0" applyFont="1" applyFill="1" applyAlignment="1">
      <alignment vertical="center" wrapText="1"/>
    </xf>
    <xf numFmtId="0" fontId="44" fillId="7" borderId="0" xfId="0" applyFont="1" applyFill="1" applyAlignment="1">
      <alignment horizontal="center" vertical="center" wrapText="1"/>
    </xf>
    <xf numFmtId="1" fontId="44" fillId="7" borderId="0" xfId="0" applyNumberFormat="1" applyFont="1" applyFill="1" applyAlignment="1">
      <alignment horizontal="center" vertical="center" wrapText="1"/>
    </xf>
    <xf numFmtId="3" fontId="47" fillId="7" borderId="0" xfId="0" applyNumberFormat="1" applyFont="1" applyFill="1" applyAlignment="1">
      <alignment horizontal="center"/>
    </xf>
    <xf numFmtId="0" fontId="47" fillId="7" borderId="0" xfId="0" applyFont="1" applyFill="1" applyAlignment="1">
      <alignment vertical="center" wrapText="1"/>
    </xf>
    <xf numFmtId="3" fontId="46" fillId="7" borderId="0" xfId="0" applyNumberFormat="1" applyFont="1" applyFill="1"/>
    <xf numFmtId="3" fontId="1" fillId="0" borderId="0" xfId="0" applyNumberFormat="1" applyFont="1"/>
    <xf numFmtId="3" fontId="46" fillId="7" borderId="0" xfId="0" applyNumberFormat="1" applyFont="1" applyFill="1" applyAlignment="1">
      <alignment horizontal="center"/>
    </xf>
    <xf numFmtId="3" fontId="47" fillId="7" borderId="0" xfId="0" applyNumberFormat="1" applyFont="1" applyFill="1"/>
    <xf numFmtId="4" fontId="10" fillId="0" borderId="0" xfId="0" applyNumberFormat="1" applyFont="1" applyAlignment="1">
      <alignment horizontal="center"/>
    </xf>
    <xf numFmtId="0" fontId="46" fillId="7" borderId="0" xfId="0" applyFont="1" applyFill="1" applyAlignment="1">
      <alignment vertical="center" wrapText="1"/>
    </xf>
    <xf numFmtId="3" fontId="1" fillId="0" borderId="0" xfId="0" applyNumberFormat="1" applyFont="1" applyAlignment="1">
      <alignment vertical="center"/>
    </xf>
    <xf numFmtId="4" fontId="26" fillId="5" borderId="0" xfId="0" applyNumberFormat="1" applyFont="1" applyFill="1" applyAlignment="1">
      <alignment horizontal="center"/>
    </xf>
    <xf numFmtId="3" fontId="34" fillId="0" borderId="0" xfId="0" applyNumberFormat="1" applyFont="1"/>
    <xf numFmtId="3" fontId="11" fillId="0" borderId="0" xfId="0" applyNumberFormat="1" applyFont="1"/>
    <xf numFmtId="3" fontId="11" fillId="0" borderId="0" xfId="0" applyNumberFormat="1" applyFont="1" applyAlignment="1">
      <alignment horizontal="center"/>
    </xf>
    <xf numFmtId="3" fontId="11" fillId="0" borderId="0" xfId="0" applyNumberFormat="1" applyFont="1" applyBorder="1" applyAlignment="1">
      <alignment horizontal="center"/>
    </xf>
    <xf numFmtId="3" fontId="74" fillId="7" borderId="0" xfId="0" applyNumberFormat="1" applyFont="1" applyFill="1" applyAlignment="1">
      <alignment horizontal="center" vertical="center"/>
    </xf>
    <xf numFmtId="4" fontId="46" fillId="7" borderId="0" xfId="0" applyNumberFormat="1" applyFont="1" applyFill="1" applyAlignment="1">
      <alignment horizontal="center"/>
    </xf>
    <xf numFmtId="4" fontId="74" fillId="7" borderId="0" xfId="0" applyNumberFormat="1" applyFont="1" applyFill="1" applyAlignment="1">
      <alignment horizontal="center" vertical="center"/>
    </xf>
    <xf numFmtId="4" fontId="10" fillId="0" borderId="0" xfId="0" applyNumberFormat="1" applyFont="1" applyBorder="1" applyAlignment="1">
      <alignment horizontal="center"/>
    </xf>
    <xf numFmtId="0" fontId="75" fillId="0" borderId="0" xfId="0" applyFont="1" applyAlignment="1">
      <alignment vertical="center"/>
    </xf>
    <xf numFmtId="0" fontId="45" fillId="7" borderId="0" xfId="0" applyFont="1" applyFill="1" applyAlignment="1">
      <alignment vertical="center"/>
    </xf>
    <xf numFmtId="0" fontId="46" fillId="7" borderId="0" xfId="0" applyFont="1" applyFill="1" applyAlignment="1">
      <alignment vertical="center"/>
    </xf>
    <xf numFmtId="0" fontId="46" fillId="7" borderId="0" xfId="0" applyFont="1" applyFill="1" applyAlignment="1">
      <alignment horizontal="center" vertical="center"/>
    </xf>
    <xf numFmtId="3" fontId="1" fillId="0" borderId="0" xfId="0" applyNumberFormat="1" applyFont="1" applyBorder="1"/>
    <xf numFmtId="9" fontId="1" fillId="0" borderId="0" xfId="1" applyFont="1"/>
    <xf numFmtId="9" fontId="1" fillId="0" borderId="0" xfId="1" applyFont="1" applyAlignment="1">
      <alignment horizontal="center"/>
    </xf>
    <xf numFmtId="164" fontId="1" fillId="0" borderId="0" xfId="1" applyNumberFormat="1" applyFont="1" applyAlignment="1">
      <alignment horizontal="center"/>
    </xf>
    <xf numFmtId="3" fontId="1" fillId="0" borderId="0" xfId="0" applyNumberFormat="1" applyFont="1" applyBorder="1" applyAlignment="1">
      <alignment horizontal="center"/>
    </xf>
    <xf numFmtId="0" fontId="23" fillId="0" borderId="0" xfId="0" applyFont="1" applyAlignment="1">
      <alignment vertical="center"/>
    </xf>
    <xf numFmtId="3"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center"/>
    </xf>
    <xf numFmtId="3" fontId="1" fillId="0" borderId="0" xfId="0" applyNumberFormat="1" applyFont="1" applyBorder="1" applyAlignment="1">
      <alignment horizontal="center" vertical="center"/>
    </xf>
    <xf numFmtId="3" fontId="1" fillId="0" borderId="2" xfId="0" applyNumberFormat="1" applyFont="1" applyBorder="1" applyAlignment="1">
      <alignment horizontal="center"/>
    </xf>
    <xf numFmtId="3" fontId="46" fillId="7" borderId="0" xfId="0" applyNumberFormat="1" applyFont="1" applyFill="1" applyAlignment="1">
      <alignment vertical="center"/>
    </xf>
    <xf numFmtId="3" fontId="46" fillId="7" borderId="0" xfId="0" applyNumberFormat="1" applyFont="1" applyFill="1" applyAlignment="1">
      <alignment horizontal="center" vertical="center"/>
    </xf>
    <xf numFmtId="0" fontId="46" fillId="7" borderId="0" xfId="0" applyNumberFormat="1" applyFont="1" applyFill="1" applyAlignment="1">
      <alignment horizontal="center" vertical="center"/>
    </xf>
    <xf numFmtId="0" fontId="44" fillId="7" borderId="0" xfId="0" applyFont="1" applyFill="1" applyAlignment="1">
      <alignment vertical="center"/>
    </xf>
    <xf numFmtId="0" fontId="33" fillId="4" borderId="0" xfId="0" applyFont="1" applyFill="1" applyAlignment="1">
      <alignment vertical="center" wrapText="1"/>
    </xf>
    <xf numFmtId="0" fontId="33" fillId="4" borderId="0" xfId="0" applyFont="1" applyFill="1" applyAlignment="1">
      <alignment horizontal="center" vertical="center" wrapText="1"/>
    </xf>
    <xf numFmtId="1" fontId="33" fillId="4" borderId="0" xfId="0" applyNumberFormat="1" applyFont="1" applyFill="1" applyAlignment="1">
      <alignment horizontal="center" vertical="center" wrapText="1"/>
    </xf>
    <xf numFmtId="3" fontId="31" fillId="4" borderId="0" xfId="0" quotePrefix="1" applyNumberFormat="1" applyFont="1" applyFill="1"/>
    <xf numFmtId="3" fontId="31" fillId="4" borderId="0" xfId="0" applyNumberFormat="1" applyFont="1" applyFill="1"/>
    <xf numFmtId="3" fontId="7" fillId="4" borderId="0" xfId="0" applyNumberFormat="1" applyFont="1" applyFill="1" applyAlignment="1">
      <alignment horizontal="center"/>
    </xf>
    <xf numFmtId="9" fontId="31" fillId="4" borderId="0" xfId="1" applyFont="1" applyFill="1" applyAlignment="1">
      <alignment horizontal="center"/>
    </xf>
    <xf numFmtId="3" fontId="31" fillId="4" borderId="0" xfId="0" applyNumberFormat="1" applyFont="1" applyFill="1" applyAlignment="1">
      <alignment horizontal="center"/>
    </xf>
    <xf numFmtId="3" fontId="26" fillId="4" borderId="0" xfId="0" applyNumberFormat="1" applyFont="1" applyFill="1" applyAlignment="1">
      <alignment horizontal="center"/>
    </xf>
    <xf numFmtId="3" fontId="1" fillId="4" borderId="0" xfId="0" applyNumberFormat="1" applyFont="1" applyFill="1" applyAlignment="1">
      <alignment horizontal="center"/>
    </xf>
    <xf numFmtId="4" fontId="31" fillId="4" borderId="0" xfId="0" applyNumberFormat="1" applyFont="1" applyFill="1" applyAlignment="1">
      <alignment horizontal="center"/>
    </xf>
    <xf numFmtId="0" fontId="76" fillId="0" borderId="0" xfId="0" applyFont="1" applyFill="1" applyAlignment="1">
      <alignment vertical="center"/>
    </xf>
    <xf numFmtId="0" fontId="78" fillId="0" borderId="0" xfId="0" applyFont="1" applyFill="1" applyAlignment="1">
      <alignment vertical="center"/>
    </xf>
    <xf numFmtId="3" fontId="79" fillId="6" borderId="0" xfId="0" applyNumberFormat="1" applyFont="1" applyFill="1" applyAlignment="1">
      <alignment horizontal="center" vertical="center"/>
    </xf>
    <xf numFmtId="0" fontId="80" fillId="0" borderId="0" xfId="0" applyFont="1" applyAlignment="1"/>
    <xf numFmtId="0" fontId="44" fillId="3" borderId="0" xfId="0" applyFont="1" applyFill="1" applyAlignment="1">
      <alignment vertical="center" wrapText="1"/>
    </xf>
    <xf numFmtId="0" fontId="44" fillId="3" borderId="0" xfId="0" applyFont="1" applyFill="1" applyAlignment="1">
      <alignment horizontal="center" vertical="center" wrapText="1"/>
    </xf>
    <xf numFmtId="1" fontId="44" fillId="3" borderId="0" xfId="0" applyNumberFormat="1" applyFont="1" applyFill="1" applyAlignment="1">
      <alignment horizontal="center" vertical="center" wrapText="1"/>
    </xf>
    <xf numFmtId="3" fontId="47" fillId="3" borderId="0" xfId="0" applyNumberFormat="1" applyFont="1" applyFill="1" applyAlignment="1">
      <alignment horizontal="center"/>
    </xf>
    <xf numFmtId="3" fontId="46" fillId="3" borderId="0" xfId="0" applyNumberFormat="1" applyFont="1" applyFill="1"/>
    <xf numFmtId="3" fontId="46" fillId="3" borderId="0" xfId="0" applyNumberFormat="1" applyFont="1" applyFill="1" applyAlignment="1">
      <alignment horizontal="center"/>
    </xf>
    <xf numFmtId="3" fontId="81" fillId="3" borderId="0" xfId="0" applyNumberFormat="1" applyFont="1" applyFill="1"/>
    <xf numFmtId="0" fontId="82" fillId="3" borderId="0" xfId="0" applyFont="1" applyFill="1" applyAlignment="1">
      <alignment vertical="center"/>
    </xf>
    <xf numFmtId="0" fontId="83" fillId="3" borderId="0" xfId="0" applyFont="1" applyFill="1" applyAlignment="1">
      <alignment vertical="center" wrapText="1"/>
    </xf>
    <xf numFmtId="3" fontId="83" fillId="3" borderId="0" xfId="0" applyNumberFormat="1" applyFont="1" applyFill="1"/>
    <xf numFmtId="3" fontId="86" fillId="5" borderId="0" xfId="0" applyNumberFormat="1" applyFont="1" applyFill="1"/>
    <xf numFmtId="0" fontId="85" fillId="0" borderId="0" xfId="0" applyFont="1" applyBorder="1"/>
    <xf numFmtId="38" fontId="85" fillId="0" borderId="0" xfId="0" applyNumberFormat="1" applyFont="1" applyAlignment="1">
      <alignment vertical="center"/>
    </xf>
    <xf numFmtId="0" fontId="85" fillId="0" borderId="0" xfId="0" applyFont="1"/>
    <xf numFmtId="38" fontId="14" fillId="0" borderId="0" xfId="0" applyNumberFormat="1" applyFont="1" applyAlignment="1">
      <alignment vertical="center"/>
    </xf>
    <xf numFmtId="3" fontId="85" fillId="0" borderId="0" xfId="0" applyNumberFormat="1" applyFont="1"/>
    <xf numFmtId="38" fontId="85" fillId="0" borderId="0" xfId="0" applyNumberFormat="1" applyFont="1"/>
    <xf numFmtId="38" fontId="85" fillId="0" borderId="0" xfId="0" quotePrefix="1" applyNumberFormat="1" applyFont="1"/>
    <xf numFmtId="3" fontId="85" fillId="0" borderId="0" xfId="0" quotePrefix="1" applyNumberFormat="1" applyFont="1"/>
    <xf numFmtId="38" fontId="14" fillId="0" borderId="0" xfId="0" applyNumberFormat="1" applyFont="1"/>
    <xf numFmtId="3" fontId="14" fillId="0" borderId="0" xfId="0" applyNumberFormat="1" applyFont="1"/>
    <xf numFmtId="3" fontId="42" fillId="0" borderId="0" xfId="0" applyNumberFormat="1" applyFont="1" applyAlignment="1">
      <alignment vertical="center"/>
    </xf>
    <xf numFmtId="3" fontId="9" fillId="0" borderId="0" xfId="0" applyNumberFormat="1" applyFont="1" applyAlignment="1">
      <alignment horizontal="center" vertical="center"/>
    </xf>
    <xf numFmtId="3" fontId="9" fillId="0" borderId="2" xfId="0" applyNumberFormat="1" applyFont="1" applyBorder="1" applyAlignment="1">
      <alignment horizontal="center" vertical="center"/>
    </xf>
    <xf numFmtId="3" fontId="12" fillId="0" borderId="0" xfId="0" applyNumberFormat="1" applyFont="1"/>
    <xf numFmtId="38" fontId="68" fillId="0" borderId="0" xfId="0" applyNumberFormat="1" applyFont="1" applyAlignment="1">
      <alignment vertical="center"/>
    </xf>
    <xf numFmtId="0" fontId="87" fillId="0" borderId="0" xfId="0" applyFont="1" applyAlignment="1">
      <alignment vertical="center"/>
    </xf>
    <xf numFmtId="3" fontId="88" fillId="0" borderId="0" xfId="0" applyNumberFormat="1" applyFont="1" applyAlignment="1">
      <alignment horizontal="center" vertical="center"/>
    </xf>
    <xf numFmtId="165" fontId="88" fillId="0" borderId="0" xfId="0" applyNumberFormat="1" applyFont="1" applyAlignment="1">
      <alignment horizontal="center" vertical="center"/>
    </xf>
    <xf numFmtId="3" fontId="88" fillId="0" borderId="0" xfId="0" applyNumberFormat="1" applyFont="1" applyAlignment="1">
      <alignment vertical="center"/>
    </xf>
    <xf numFmtId="38" fontId="68" fillId="0" borderId="0" xfId="0" applyNumberFormat="1" applyFont="1" applyBorder="1" applyAlignment="1">
      <alignment horizontal="center"/>
    </xf>
    <xf numFmtId="3" fontId="31" fillId="5" borderId="0" xfId="0" applyNumberFormat="1" applyFont="1" applyFill="1" applyAlignment="1">
      <alignment vertical="center"/>
    </xf>
    <xf numFmtId="3" fontId="92" fillId="5" borderId="0" xfId="0" applyNumberFormat="1" applyFont="1" applyFill="1" applyAlignment="1">
      <alignment vertical="center"/>
    </xf>
    <xf numFmtId="3" fontId="7" fillId="0" borderId="0" xfId="0" applyNumberFormat="1" applyFont="1" applyAlignment="1">
      <alignment horizontal="center" vertical="center"/>
    </xf>
    <xf numFmtId="3" fontId="55" fillId="5" borderId="0" xfId="0" applyNumberFormat="1" applyFont="1" applyFill="1" applyAlignment="1">
      <alignment horizontal="center" vertical="center"/>
    </xf>
    <xf numFmtId="3" fontId="31" fillId="5" borderId="0" xfId="0" applyNumberFormat="1" applyFont="1" applyFill="1" applyAlignment="1">
      <alignment horizontal="center" vertical="center"/>
    </xf>
    <xf numFmtId="38" fontId="1" fillId="0" borderId="0" xfId="0" applyNumberFormat="1" applyFont="1" applyAlignment="1">
      <alignment vertical="center"/>
    </xf>
    <xf numFmtId="38" fontId="11" fillId="0" borderId="0" xfId="0" applyNumberFormat="1" applyFont="1" applyAlignment="1">
      <alignment horizontal="center" vertical="center"/>
    </xf>
    <xf numFmtId="38" fontId="1" fillId="0" borderId="0" xfId="0" applyNumberFormat="1" applyFont="1" applyAlignment="1">
      <alignment horizontal="center" vertical="center"/>
    </xf>
    <xf numFmtId="38" fontId="1" fillId="0" borderId="0" xfId="0" applyNumberFormat="1" applyFont="1"/>
    <xf numFmtId="38" fontId="1" fillId="0" borderId="0" xfId="0" applyNumberFormat="1" applyFont="1" applyAlignment="1">
      <alignment horizontal="center"/>
    </xf>
    <xf numFmtId="38" fontId="1" fillId="0" borderId="0" xfId="0" applyNumberFormat="1" applyFont="1" applyBorder="1" applyAlignment="1">
      <alignment horizontal="center"/>
    </xf>
    <xf numFmtId="0" fontId="84" fillId="7" borderId="0" xfId="0" applyFont="1" applyFill="1" applyAlignment="1">
      <alignment vertical="center" wrapText="1"/>
    </xf>
    <xf numFmtId="3" fontId="83" fillId="7" borderId="0" xfId="0" applyNumberFormat="1" applyFont="1" applyFill="1"/>
    <xf numFmtId="3" fontId="92" fillId="5" borderId="0" xfId="0" applyNumberFormat="1" applyFont="1" applyFill="1"/>
    <xf numFmtId="3" fontId="14" fillId="0" borderId="0" xfId="0" quotePrefix="1" applyNumberFormat="1" applyFont="1"/>
    <xf numFmtId="0" fontId="83" fillId="7" borderId="0" xfId="0" applyFont="1" applyFill="1" applyAlignment="1">
      <alignment vertical="center" wrapText="1"/>
    </xf>
    <xf numFmtId="3" fontId="14" fillId="0" borderId="0" xfId="0" applyNumberFormat="1" applyFont="1" applyAlignment="1">
      <alignment vertical="center"/>
    </xf>
    <xf numFmtId="3" fontId="84" fillId="7" borderId="0" xfId="0" applyNumberFormat="1" applyFont="1" applyFill="1"/>
    <xf numFmtId="38" fontId="42" fillId="0" borderId="0" xfId="0" applyNumberFormat="1" applyFont="1" applyAlignment="1">
      <alignment vertical="center"/>
    </xf>
    <xf numFmtId="38" fontId="9" fillId="0" borderId="2" xfId="0" applyNumberFormat="1" applyFont="1" applyBorder="1" applyAlignment="1">
      <alignment horizontal="center" vertical="center"/>
    </xf>
    <xf numFmtId="38" fontId="7" fillId="0" borderId="0" xfId="0" applyNumberFormat="1" applyFont="1"/>
    <xf numFmtId="38" fontId="9" fillId="0" borderId="1" xfId="0" applyNumberFormat="1" applyFont="1" applyBorder="1" applyAlignment="1">
      <alignment horizontal="center" vertical="center"/>
    </xf>
    <xf numFmtId="3" fontId="29" fillId="0" borderId="0" xfId="0" applyNumberFormat="1" applyFont="1" applyAlignment="1">
      <alignment horizontal="right" indent="2"/>
    </xf>
    <xf numFmtId="3" fontId="29" fillId="0" borderId="0" xfId="0" applyNumberFormat="1" applyFont="1" applyAlignment="1">
      <alignment horizontal="center"/>
    </xf>
    <xf numFmtId="3" fontId="29" fillId="0" borderId="0" xfId="0" applyNumberFormat="1" applyFont="1" applyAlignment="1">
      <alignment horizontal="right" vertical="top"/>
    </xf>
    <xf numFmtId="3" fontId="29" fillId="0" borderId="0" xfId="0" applyNumberFormat="1" applyFont="1" applyAlignment="1">
      <alignment horizontal="center" vertical="top"/>
    </xf>
    <xf numFmtId="38" fontId="58" fillId="0" borderId="0" xfId="0" applyNumberFormat="1" applyFont="1" applyBorder="1" applyAlignment="1">
      <alignment vertical="center"/>
    </xf>
    <xf numFmtId="38" fontId="61" fillId="0" borderId="0" xfId="0" applyNumberFormat="1" applyFont="1" applyBorder="1" applyAlignment="1">
      <alignment horizontal="center" vertical="center"/>
    </xf>
    <xf numFmtId="40" fontId="10" fillId="0" borderId="2" xfId="0" applyNumberFormat="1" applyFont="1" applyBorder="1" applyAlignment="1">
      <alignment horizontal="center"/>
    </xf>
    <xf numFmtId="38" fontId="1" fillId="0" borderId="2" xfId="0" applyNumberFormat="1" applyFont="1" applyBorder="1" applyAlignment="1">
      <alignment horizontal="center"/>
    </xf>
    <xf numFmtId="3" fontId="93" fillId="0" borderId="0" xfId="0" applyNumberFormat="1" applyFont="1"/>
    <xf numFmtId="38" fontId="60" fillId="0" borderId="9" xfId="0" applyNumberFormat="1" applyFont="1" applyBorder="1" applyAlignment="1">
      <alignment horizontal="center" vertical="center"/>
    </xf>
    <xf numFmtId="38" fontId="60" fillId="0" borderId="2" xfId="0" applyNumberFormat="1" applyFont="1" applyBorder="1" applyAlignment="1">
      <alignment horizontal="center" vertical="center"/>
    </xf>
    <xf numFmtId="38" fontId="60" fillId="0" borderId="0" xfId="0" applyNumberFormat="1" applyFont="1" applyAlignment="1">
      <alignment vertical="center" wrapText="1"/>
    </xf>
    <xf numFmtId="3" fontId="60" fillId="0" borderId="0" xfId="0" applyNumberFormat="1" applyFont="1" applyAlignment="1">
      <alignment vertical="center"/>
    </xf>
    <xf numFmtId="3" fontId="85" fillId="0" borderId="0" xfId="0" applyNumberFormat="1" applyFont="1" applyAlignment="1">
      <alignment vertical="center"/>
    </xf>
    <xf numFmtId="3" fontId="60" fillId="0" borderId="2" xfId="0" applyNumberFormat="1" applyFont="1" applyBorder="1" applyAlignment="1">
      <alignment horizontal="center" vertical="center"/>
    </xf>
    <xf numFmtId="3" fontId="64" fillId="0" borderId="0" xfId="0" applyNumberFormat="1" applyFont="1" applyAlignment="1">
      <alignment vertical="center"/>
    </xf>
    <xf numFmtId="0" fontId="94" fillId="0" borderId="0" xfId="0" applyFont="1"/>
    <xf numFmtId="3" fontId="95" fillId="3" borderId="0" xfId="0" quotePrefix="1" applyNumberFormat="1" applyFont="1" applyFill="1"/>
    <xf numFmtId="3" fontId="96" fillId="3" borderId="0" xfId="0" applyNumberFormat="1" applyFont="1" applyFill="1"/>
    <xf numFmtId="3" fontId="97" fillId="3" borderId="0" xfId="0" applyNumberFormat="1" applyFont="1" applyFill="1" applyAlignment="1">
      <alignment horizontal="center"/>
    </xf>
    <xf numFmtId="9" fontId="95" fillId="3" borderId="0" xfId="1" applyFont="1" applyFill="1" applyAlignment="1">
      <alignment horizontal="center"/>
    </xf>
    <xf numFmtId="0" fontId="83" fillId="7" borderId="0" xfId="0" applyFont="1" applyFill="1" applyAlignment="1">
      <alignment vertical="center"/>
    </xf>
    <xf numFmtId="9" fontId="14" fillId="0" borderId="0" xfId="1" applyFont="1"/>
    <xf numFmtId="0" fontId="14" fillId="0" borderId="0" xfId="0" applyFont="1" applyBorder="1"/>
    <xf numFmtId="9" fontId="98" fillId="2" borderId="0" xfId="0" applyNumberFormat="1" applyFont="1" applyFill="1" applyAlignment="1">
      <alignment horizontal="center"/>
    </xf>
    <xf numFmtId="0" fontId="81" fillId="7" borderId="0" xfId="0" applyFont="1" applyFill="1" applyAlignment="1">
      <alignment horizontal="center" vertical="center"/>
    </xf>
    <xf numFmtId="0" fontId="99" fillId="7" borderId="0" xfId="0" applyFont="1" applyFill="1" applyAlignment="1">
      <alignment horizontal="center" vertical="center" wrapText="1"/>
    </xf>
    <xf numFmtId="38" fontId="1" fillId="0" borderId="0" xfId="0" quotePrefix="1" applyNumberFormat="1" applyFont="1"/>
    <xf numFmtId="38" fontId="14" fillId="0" borderId="0" xfId="0" quotePrefix="1" applyNumberFormat="1" applyFont="1"/>
    <xf numFmtId="3" fontId="64" fillId="0" borderId="0" xfId="0" applyNumberFormat="1" applyFont="1"/>
    <xf numFmtId="38" fontId="81" fillId="3" borderId="0" xfId="0" applyNumberFormat="1" applyFont="1" applyFill="1"/>
    <xf numFmtId="3" fontId="101" fillId="0" borderId="0" xfId="0" applyNumberFormat="1" applyFont="1"/>
    <xf numFmtId="38" fontId="10" fillId="0" borderId="2" xfId="0" applyNumberFormat="1" applyFont="1" applyBorder="1" applyAlignment="1">
      <alignment horizontal="center"/>
    </xf>
    <xf numFmtId="38" fontId="26" fillId="5" borderId="1" xfId="0" applyNumberFormat="1" applyFont="1" applyFill="1" applyBorder="1" applyAlignment="1">
      <alignment horizontal="center"/>
    </xf>
    <xf numFmtId="38" fontId="7" fillId="0" borderId="2" xfId="0" applyNumberFormat="1" applyFont="1" applyBorder="1" applyAlignment="1">
      <alignment horizontal="center"/>
    </xf>
    <xf numFmtId="38" fontId="11" fillId="0" borderId="4" xfId="0" applyNumberFormat="1" applyFont="1" applyBorder="1" applyAlignment="1">
      <alignment horizontal="center" vertical="center"/>
    </xf>
    <xf numFmtId="167" fontId="7" fillId="0" borderId="2" xfId="0" applyNumberFormat="1" applyFont="1" applyBorder="1" applyAlignment="1">
      <alignment horizontal="center"/>
    </xf>
    <xf numFmtId="167" fontId="10" fillId="0" borderId="0" xfId="0" applyNumberFormat="1" applyFont="1" applyAlignment="1">
      <alignment horizontal="center" vertical="center"/>
    </xf>
    <xf numFmtId="167" fontId="10" fillId="0" borderId="0" xfId="0" applyNumberFormat="1" applyFont="1" applyBorder="1" applyAlignment="1">
      <alignment horizontal="center" vertical="center"/>
    </xf>
    <xf numFmtId="3" fontId="51" fillId="0" borderId="0" xfId="0" quotePrefix="1" applyNumberFormat="1" applyFont="1"/>
    <xf numFmtId="3" fontId="0" fillId="0" borderId="0" xfId="0" applyNumberFormat="1" applyFont="1" applyAlignment="1">
      <alignment vertical="center"/>
    </xf>
    <xf numFmtId="3" fontId="51" fillId="0" borderId="0" xfId="0" applyNumberFormat="1" applyFont="1" applyAlignment="1">
      <alignment horizontal="center"/>
    </xf>
    <xf numFmtId="38" fontId="51" fillId="0" borderId="0" xfId="0" applyNumberFormat="1" applyFont="1" applyBorder="1" applyAlignment="1">
      <alignment horizontal="center"/>
    </xf>
    <xf numFmtId="38" fontId="46" fillId="7" borderId="0" xfId="0" applyNumberFormat="1" applyFont="1" applyFill="1" applyAlignment="1">
      <alignment horizontal="center"/>
    </xf>
    <xf numFmtId="38" fontId="11" fillId="0" borderId="2" xfId="0" applyNumberFormat="1" applyFont="1" applyBorder="1" applyAlignment="1">
      <alignment horizontal="center" vertical="center"/>
    </xf>
    <xf numFmtId="38" fontId="9" fillId="0" borderId="1" xfId="0" applyNumberFormat="1" applyFont="1" applyBorder="1" applyAlignment="1">
      <alignment horizontal="center"/>
    </xf>
    <xf numFmtId="38" fontId="9" fillId="0" borderId="0" xfId="0" applyNumberFormat="1" applyFont="1" applyAlignment="1">
      <alignment horizontal="center"/>
    </xf>
    <xf numFmtId="38" fontId="10" fillId="0" borderId="1" xfId="0" applyNumberFormat="1" applyFont="1" applyBorder="1" applyAlignment="1">
      <alignment horizontal="center"/>
    </xf>
    <xf numFmtId="38" fontId="11" fillId="0" borderId="8" xfId="0" applyNumberFormat="1" applyFont="1" applyBorder="1" applyAlignment="1">
      <alignment horizontal="center" vertical="center"/>
    </xf>
    <xf numFmtId="38" fontId="11" fillId="0" borderId="0" xfId="0" applyNumberFormat="1" applyFont="1" applyBorder="1" applyAlignment="1">
      <alignment horizontal="center" vertical="center"/>
    </xf>
    <xf numFmtId="38" fontId="10" fillId="0" borderId="0" xfId="0" applyNumberFormat="1" applyFont="1" applyAlignment="1"/>
    <xf numFmtId="38" fontId="46" fillId="7" borderId="0" xfId="0" applyNumberFormat="1" applyFont="1" applyFill="1" applyAlignment="1">
      <alignment horizontal="center" vertical="center" wrapText="1"/>
    </xf>
    <xf numFmtId="38" fontId="42" fillId="0" borderId="0" xfId="0" applyNumberFormat="1" applyFont="1"/>
    <xf numFmtId="38" fontId="42" fillId="0" borderId="4" xfId="0" applyNumberFormat="1" applyFont="1" applyBorder="1" applyAlignment="1">
      <alignment horizontal="center"/>
    </xf>
    <xf numFmtId="0" fontId="81" fillId="7" borderId="0" xfId="0" applyFont="1" applyFill="1" applyAlignment="1">
      <alignment vertical="center"/>
    </xf>
    <xf numFmtId="0" fontId="0" fillId="0" borderId="0" xfId="0" applyFont="1" applyAlignment="1">
      <alignment vertical="center"/>
    </xf>
    <xf numFmtId="0" fontId="81" fillId="7" borderId="0" xfId="0" applyFont="1" applyFill="1" applyAlignment="1">
      <alignment vertical="center" wrapText="1"/>
    </xf>
    <xf numFmtId="3" fontId="74" fillId="7" borderId="0" xfId="0" applyNumberFormat="1" applyFont="1" applyFill="1"/>
    <xf numFmtId="3" fontId="81" fillId="7" borderId="0" xfId="0" applyNumberFormat="1" applyFont="1" applyFill="1"/>
    <xf numFmtId="0" fontId="0" fillId="0" borderId="7" xfId="0" applyFont="1" applyBorder="1" applyAlignment="1">
      <alignment vertical="center"/>
    </xf>
    <xf numFmtId="0" fontId="0" fillId="0" borderId="0" xfId="0" applyFont="1" applyBorder="1" applyAlignment="1">
      <alignment vertical="center"/>
    </xf>
    <xf numFmtId="3" fontId="103" fillId="5" borderId="0" xfId="0" applyNumberFormat="1" applyFont="1" applyFill="1"/>
    <xf numFmtId="9" fontId="0" fillId="0" borderId="0" xfId="1" applyFont="1"/>
    <xf numFmtId="0" fontId="0" fillId="0" borderId="0" xfId="0" applyFont="1" applyBorder="1"/>
    <xf numFmtId="0" fontId="0" fillId="0" borderId="0" xfId="0" applyFont="1" applyAlignment="1"/>
    <xf numFmtId="0" fontId="0" fillId="0" borderId="0" xfId="0" applyFont="1" applyAlignment="1">
      <alignment horizontal="center"/>
    </xf>
    <xf numFmtId="0" fontId="107" fillId="0" borderId="0" xfId="0" applyFont="1" applyAlignment="1">
      <alignment vertical="center"/>
    </xf>
    <xf numFmtId="38" fontId="74" fillId="7" borderId="0" xfId="3" applyNumberFormat="1" applyFont="1" applyFill="1" applyAlignment="1">
      <alignment horizontal="center" vertical="center"/>
    </xf>
    <xf numFmtId="38" fontId="81" fillId="7" borderId="0" xfId="3" applyNumberFormat="1" applyFont="1" applyFill="1" applyAlignment="1">
      <alignment horizontal="center" vertical="center"/>
    </xf>
    <xf numFmtId="0" fontId="74" fillId="7" borderId="0" xfId="0" applyFont="1" applyFill="1" applyAlignment="1">
      <alignment horizontal="center" vertical="center"/>
    </xf>
    <xf numFmtId="0" fontId="100" fillId="7" borderId="0" xfId="0" applyFont="1" applyFill="1" applyAlignment="1">
      <alignment horizontal="left" vertical="center"/>
    </xf>
    <xf numFmtId="166" fontId="0" fillId="0" borderId="0" xfId="3" applyNumberFormat="1" applyFont="1" applyAlignment="1">
      <alignment horizontal="center" vertical="center"/>
    </xf>
    <xf numFmtId="38" fontId="81" fillId="3" borderId="0" xfId="3" applyNumberFormat="1" applyFont="1" applyFill="1" applyAlignment="1">
      <alignment horizontal="center" vertical="center"/>
    </xf>
    <xf numFmtId="38" fontId="81" fillId="3" borderId="0" xfId="0" applyNumberFormat="1" applyFont="1" applyFill="1" applyAlignment="1">
      <alignment horizontal="center" vertical="center"/>
    </xf>
    <xf numFmtId="38" fontId="81" fillId="3" borderId="5" xfId="0" applyNumberFormat="1" applyFont="1" applyFill="1" applyBorder="1" applyAlignment="1">
      <alignment horizontal="center" vertical="center"/>
    </xf>
    <xf numFmtId="3" fontId="81" fillId="3" borderId="0" xfId="0" applyNumberFormat="1" applyFont="1" applyFill="1" applyAlignment="1">
      <alignment horizontal="center" vertical="center"/>
    </xf>
    <xf numFmtId="38" fontId="74" fillId="3" borderId="0" xfId="0" applyNumberFormat="1" applyFont="1" applyFill="1" applyAlignment="1">
      <alignment horizontal="center" vertical="center"/>
    </xf>
    <xf numFmtId="164" fontId="7" fillId="0" borderId="0" xfId="1" applyNumberFormat="1" applyFont="1" applyAlignment="1">
      <alignment horizontal="center" vertical="center"/>
    </xf>
    <xf numFmtId="0" fontId="51" fillId="0" borderId="0" xfId="0" applyFont="1" applyAlignment="1">
      <alignment horizontal="center" vertical="center"/>
    </xf>
    <xf numFmtId="166" fontId="51" fillId="0" borderId="0" xfId="3" applyNumberFormat="1" applyFont="1" applyAlignment="1">
      <alignment horizontal="center" vertical="center"/>
    </xf>
    <xf numFmtId="38" fontId="74" fillId="3" borderId="0" xfId="3" applyNumberFormat="1" applyFont="1" applyFill="1" applyAlignment="1">
      <alignment horizontal="center" vertical="center"/>
    </xf>
    <xf numFmtId="38" fontId="51" fillId="0" borderId="0" xfId="0" applyNumberFormat="1" applyFont="1" applyBorder="1" applyAlignment="1">
      <alignment horizontal="center" vertical="center"/>
    </xf>
    <xf numFmtId="38" fontId="0" fillId="0" borderId="0" xfId="0" applyNumberFormat="1" applyBorder="1" applyAlignment="1">
      <alignment horizontal="center" vertical="center"/>
    </xf>
    <xf numFmtId="38" fontId="74" fillId="3" borderId="0" xfId="0" applyNumberFormat="1" applyFont="1" applyFill="1" applyBorder="1" applyAlignment="1">
      <alignment horizontal="center" vertical="center"/>
    </xf>
    <xf numFmtId="9" fontId="81" fillId="3" borderId="0" xfId="1" applyNumberFormat="1" applyFont="1" applyFill="1" applyAlignment="1">
      <alignment horizontal="center" vertical="center"/>
    </xf>
    <xf numFmtId="9" fontId="51" fillId="0" borderId="0" xfId="1" applyFont="1" applyAlignment="1">
      <alignment horizontal="center" vertical="center"/>
    </xf>
    <xf numFmtId="0" fontId="103" fillId="0" borderId="0" xfId="0" applyFont="1"/>
    <xf numFmtId="0" fontId="101" fillId="0" borderId="0" xfId="0" applyFont="1"/>
    <xf numFmtId="0" fontId="110" fillId="0" borderId="0" xfId="0" applyFont="1"/>
    <xf numFmtId="0" fontId="111" fillId="3" borderId="0" xfId="0" applyFont="1" applyFill="1" applyAlignment="1">
      <alignment vertical="center"/>
    </xf>
    <xf numFmtId="0" fontId="112" fillId="4" borderId="0" xfId="0" applyFont="1" applyFill="1" applyAlignment="1">
      <alignment horizontal="center" vertical="center" wrapText="1"/>
    </xf>
    <xf numFmtId="3" fontId="103" fillId="4" borderId="0" xfId="0" applyNumberFormat="1" applyFont="1" applyFill="1"/>
    <xf numFmtId="0" fontId="51" fillId="0" borderId="0" xfId="0" applyNumberFormat="1" applyFont="1" applyAlignment="1">
      <alignment horizontal="center" vertical="center"/>
    </xf>
    <xf numFmtId="3" fontId="0" fillId="0" borderId="0" xfId="0" quotePrefix="1" applyNumberFormat="1" applyFont="1"/>
    <xf numFmtId="0" fontId="0" fillId="0" borderId="0" xfId="0" applyFont="1" applyAlignment="1">
      <alignment vertical="top"/>
    </xf>
    <xf numFmtId="9" fontId="113" fillId="2" borderId="0" xfId="0" applyNumberFormat="1" applyFont="1" applyFill="1" applyAlignment="1">
      <alignment horizontal="center"/>
    </xf>
    <xf numFmtId="3" fontId="115" fillId="0" borderId="0" xfId="0" applyNumberFormat="1" applyFont="1"/>
    <xf numFmtId="4" fontId="58" fillId="0" borderId="1" xfId="0" applyNumberFormat="1" applyFont="1" applyFill="1" applyBorder="1" applyAlignment="1">
      <alignment horizontal="center"/>
    </xf>
    <xf numFmtId="3" fontId="116" fillId="5" borderId="0" xfId="0" applyNumberFormat="1" applyFont="1" applyFill="1"/>
    <xf numFmtId="9" fontId="59" fillId="5" borderId="0" xfId="1" applyFont="1" applyFill="1" applyAlignment="1">
      <alignment horizontal="center"/>
    </xf>
    <xf numFmtId="3" fontId="58" fillId="0" borderId="2" xfId="0" applyNumberFormat="1" applyFont="1" applyBorder="1" applyAlignment="1">
      <alignment horizontal="center"/>
    </xf>
    <xf numFmtId="3" fontId="60" fillId="0" borderId="0" xfId="0" quotePrefix="1" applyNumberFormat="1" applyFont="1"/>
    <xf numFmtId="3" fontId="1" fillId="0" borderId="0" xfId="0" quotePrefix="1" applyNumberFormat="1" applyFont="1" applyAlignment="1">
      <alignment horizontal="right"/>
    </xf>
    <xf numFmtId="3" fontId="53" fillId="0" borderId="0" xfId="0" applyNumberFormat="1" applyFont="1"/>
    <xf numFmtId="3" fontId="114" fillId="0" borderId="0" xfId="0" applyNumberFormat="1" applyFont="1"/>
    <xf numFmtId="0" fontId="52" fillId="0" borderId="0" xfId="0" applyFont="1" applyAlignment="1">
      <alignment vertical="center"/>
    </xf>
    <xf numFmtId="0" fontId="16" fillId="0" borderId="0" xfId="0" applyFont="1" applyAlignment="1">
      <alignment vertical="center"/>
    </xf>
    <xf numFmtId="3" fontId="7" fillId="0" borderId="0" xfId="0" applyNumberFormat="1" applyFont="1" applyAlignment="1">
      <alignment vertical="center"/>
    </xf>
    <xf numFmtId="38" fontId="7" fillId="0" borderId="0" xfId="0" applyNumberFormat="1" applyFont="1" applyBorder="1" applyAlignment="1">
      <alignment horizontal="center"/>
    </xf>
    <xf numFmtId="38" fontId="64" fillId="0" borderId="0" xfId="0" applyNumberFormat="1" applyFont="1"/>
    <xf numFmtId="38" fontId="60" fillId="0" borderId="4" xfId="0" applyNumberFormat="1" applyFont="1" applyBorder="1" applyAlignment="1">
      <alignment horizontal="center"/>
    </xf>
    <xf numFmtId="38" fontId="58" fillId="0" borderId="2" xfId="0" applyNumberFormat="1" applyFont="1" applyBorder="1" applyAlignment="1">
      <alignment horizontal="center" vertical="center"/>
    </xf>
    <xf numFmtId="38" fontId="12" fillId="0" borderId="0" xfId="0" applyNumberFormat="1" applyFont="1" applyAlignment="1">
      <alignment horizontal="center" vertical="center"/>
    </xf>
    <xf numFmtId="38" fontId="12" fillId="0" borderId="2" xfId="0" applyNumberFormat="1" applyFont="1" applyBorder="1" applyAlignment="1">
      <alignment horizontal="center" vertical="center"/>
    </xf>
    <xf numFmtId="3" fontId="58" fillId="0" borderId="0" xfId="0" applyNumberFormat="1" applyFont="1" applyAlignment="1">
      <alignment vertical="center"/>
    </xf>
    <xf numFmtId="4" fontId="74" fillId="3" borderId="0" xfId="0" applyNumberFormat="1" applyFont="1" applyFill="1" applyBorder="1" applyAlignment="1">
      <alignment horizontal="center" vertical="center"/>
    </xf>
    <xf numFmtId="4" fontId="81" fillId="3" borderId="0" xfId="0" applyNumberFormat="1" applyFont="1" applyFill="1" applyAlignment="1">
      <alignment horizontal="center" vertical="center"/>
    </xf>
    <xf numFmtId="0" fontId="122" fillId="0" borderId="0" xfId="0" applyFont="1"/>
    <xf numFmtId="38" fontId="117" fillId="0" borderId="0" xfId="0" applyNumberFormat="1" applyFont="1" applyBorder="1" applyAlignment="1">
      <alignment horizontal="center" vertical="center"/>
    </xf>
    <xf numFmtId="38" fontId="122" fillId="0" borderId="0" xfId="0" applyNumberFormat="1" applyFont="1" applyAlignment="1">
      <alignment horizontal="center" vertical="center"/>
    </xf>
    <xf numFmtId="38" fontId="122" fillId="0" borderId="0" xfId="0" applyNumberFormat="1" applyFont="1"/>
    <xf numFmtId="38" fontId="117" fillId="0" borderId="0" xfId="3" applyNumberFormat="1" applyFont="1" applyAlignment="1">
      <alignment horizontal="center" vertical="center"/>
    </xf>
    <xf numFmtId="38" fontId="122" fillId="0" borderId="0" xfId="3" applyNumberFormat="1" applyFont="1" applyAlignment="1">
      <alignment horizontal="center" vertical="center"/>
    </xf>
    <xf numFmtId="0" fontId="117" fillId="0" borderId="0" xfId="0" applyFont="1"/>
    <xf numFmtId="38" fontId="117" fillId="0" borderId="2" xfId="3" applyNumberFormat="1" applyFont="1" applyBorder="1" applyAlignment="1">
      <alignment horizontal="center" vertical="center"/>
    </xf>
    <xf numFmtId="3" fontId="59" fillId="5" borderId="0" xfId="0" applyNumberFormat="1" applyFont="1" applyFill="1" applyAlignment="1">
      <alignment horizontal="center"/>
    </xf>
    <xf numFmtId="3" fontId="119" fillId="0" borderId="0" xfId="0" quotePrefix="1" applyNumberFormat="1" applyFont="1"/>
    <xf numFmtId="3" fontId="42" fillId="0" borderId="0" xfId="0" quotePrefix="1" applyNumberFormat="1" applyFont="1"/>
    <xf numFmtId="38" fontId="117" fillId="0" borderId="0" xfId="0" applyNumberFormat="1" applyFont="1" applyAlignment="1">
      <alignment horizontal="center" vertical="center"/>
    </xf>
    <xf numFmtId="3" fontId="124" fillId="3" borderId="0" xfId="0" applyNumberFormat="1" applyFont="1" applyFill="1"/>
    <xf numFmtId="38" fontId="125" fillId="3" borderId="0" xfId="0" applyNumberFormat="1" applyFont="1" applyFill="1" applyAlignment="1">
      <alignment horizontal="center" vertical="center"/>
    </xf>
    <xf numFmtId="38" fontId="124" fillId="3" borderId="0" xfId="0" applyNumberFormat="1" applyFont="1" applyFill="1" applyAlignment="1">
      <alignment horizontal="center" vertical="center"/>
    </xf>
    <xf numFmtId="38" fontId="122" fillId="0" borderId="0" xfId="0" applyNumberFormat="1" applyFont="1" applyBorder="1" applyAlignment="1">
      <alignment horizontal="center" vertical="center"/>
    </xf>
    <xf numFmtId="38" fontId="122" fillId="0" borderId="1" xfId="0" applyNumberFormat="1" applyFont="1" applyBorder="1" applyAlignment="1">
      <alignment horizontal="center" vertical="center"/>
    </xf>
    <xf numFmtId="38" fontId="122" fillId="0" borderId="0" xfId="3" applyNumberFormat="1" applyFont="1" applyBorder="1" applyAlignment="1">
      <alignment horizontal="center" vertical="center"/>
    </xf>
    <xf numFmtId="3" fontId="122" fillId="0" borderId="0" xfId="0" applyNumberFormat="1" applyFont="1"/>
    <xf numFmtId="38" fontId="81" fillId="3" borderId="0" xfId="0" applyNumberFormat="1" applyFont="1" applyFill="1" applyBorder="1" applyAlignment="1">
      <alignment horizontal="center" vertical="center"/>
    </xf>
    <xf numFmtId="0" fontId="14" fillId="0" borderId="0" xfId="0" applyFont="1" applyAlignment="1">
      <alignment horizontal="right"/>
    </xf>
    <xf numFmtId="9" fontId="14" fillId="0" borderId="0" xfId="1" applyFont="1" applyAlignment="1">
      <alignment horizontal="center" vertical="center"/>
    </xf>
    <xf numFmtId="38" fontId="14" fillId="0" borderId="0" xfId="0" applyNumberFormat="1" applyFont="1" applyAlignment="1">
      <alignment horizontal="center" vertical="center"/>
    </xf>
    <xf numFmtId="38" fontId="117" fillId="0" borderId="4" xfId="3" applyNumberFormat="1" applyFont="1" applyBorder="1" applyAlignment="1">
      <alignment horizontal="center" vertical="center"/>
    </xf>
    <xf numFmtId="9" fontId="124" fillId="3" borderId="0" xfId="1" applyFont="1" applyFill="1" applyAlignment="1">
      <alignment horizontal="center" vertical="center"/>
    </xf>
    <xf numFmtId="9" fontId="117" fillId="0" borderId="0" xfId="1" applyFont="1" applyAlignment="1">
      <alignment horizontal="center" vertical="center"/>
    </xf>
    <xf numFmtId="9" fontId="122" fillId="0" borderId="0" xfId="1" applyFont="1" applyAlignment="1">
      <alignment horizontal="center" vertical="center"/>
    </xf>
    <xf numFmtId="38" fontId="60" fillId="0" borderId="0" xfId="0" applyNumberFormat="1" applyFont="1" applyAlignment="1">
      <alignment horizontal="center" vertical="center"/>
    </xf>
    <xf numFmtId="38" fontId="122" fillId="0" borderId="2" xfId="3" applyNumberFormat="1" applyFont="1" applyBorder="1" applyAlignment="1">
      <alignment horizontal="center" vertical="center"/>
    </xf>
    <xf numFmtId="0" fontId="106" fillId="7" borderId="0" xfId="0" applyFont="1" applyFill="1" applyAlignment="1">
      <alignment vertical="center"/>
    </xf>
    <xf numFmtId="0" fontId="107" fillId="0" borderId="0" xfId="0" applyFont="1" applyAlignment="1"/>
    <xf numFmtId="0" fontId="74" fillId="7" borderId="0" xfId="0" applyFont="1" applyFill="1" applyAlignment="1">
      <alignment vertical="center"/>
    </xf>
    <xf numFmtId="0" fontId="123" fillId="0" borderId="0" xfId="0" applyFont="1" applyAlignment="1">
      <alignment vertical="center"/>
    </xf>
    <xf numFmtId="38" fontId="0" fillId="0" borderId="0" xfId="0" applyNumberFormat="1" applyAlignment="1">
      <alignment vertical="center"/>
    </xf>
    <xf numFmtId="38" fontId="123" fillId="0" borderId="0" xfId="0" applyNumberFormat="1" applyFont="1" applyAlignment="1">
      <alignment vertical="center"/>
    </xf>
    <xf numFmtId="38" fontId="123" fillId="0" borderId="0" xfId="3" applyNumberFormat="1" applyFont="1" applyAlignment="1">
      <alignment vertical="center"/>
    </xf>
    <xf numFmtId="0" fontId="123" fillId="0" borderId="0" xfId="0" applyFont="1" applyAlignment="1"/>
    <xf numFmtId="38" fontId="108" fillId="3" borderId="0" xfId="0" applyNumberFormat="1" applyFont="1" applyFill="1" applyAlignment="1"/>
    <xf numFmtId="3" fontId="107" fillId="0" borderId="0" xfId="0" applyNumberFormat="1" applyFont="1" applyAlignment="1"/>
    <xf numFmtId="3" fontId="81" fillId="3" borderId="0" xfId="0" applyNumberFormat="1" applyFont="1" applyFill="1" applyAlignment="1"/>
    <xf numFmtId="3" fontId="108" fillId="3" borderId="0" xfId="0" applyNumberFormat="1" applyFont="1" applyFill="1" applyAlignment="1"/>
    <xf numFmtId="0" fontId="108" fillId="7" borderId="0" xfId="0" applyFont="1" applyFill="1" applyAlignment="1"/>
    <xf numFmtId="0" fontId="108" fillId="7" borderId="0" xfId="0" applyFont="1" applyFill="1" applyAlignment="1">
      <alignment vertical="center"/>
    </xf>
    <xf numFmtId="3" fontId="126" fillId="3" borderId="0" xfId="0" applyNumberFormat="1" applyFont="1" applyFill="1" applyAlignment="1"/>
    <xf numFmtId="3" fontId="124" fillId="3" borderId="0" xfId="0" applyNumberFormat="1" applyFont="1" applyFill="1" applyAlignment="1"/>
    <xf numFmtId="0" fontId="127" fillId="0" borderId="0" xfId="0" applyFont="1"/>
    <xf numFmtId="38" fontId="124" fillId="3" borderId="0" xfId="0" applyNumberFormat="1" applyFont="1" applyFill="1"/>
    <xf numFmtId="38" fontId="126" fillId="3" borderId="0" xfId="0" applyNumberFormat="1" applyFont="1" applyFill="1" applyAlignment="1"/>
    <xf numFmtId="38" fontId="125" fillId="3" borderId="0" xfId="3" applyNumberFormat="1" applyFont="1" applyFill="1" applyAlignment="1">
      <alignment horizontal="center" vertical="center"/>
    </xf>
    <xf numFmtId="38" fontId="124" fillId="3" borderId="0" xfId="3" applyNumberFormat="1" applyFont="1" applyFill="1" applyAlignment="1">
      <alignment horizontal="center" vertical="center"/>
    </xf>
    <xf numFmtId="0" fontId="128" fillId="0" borderId="0" xfId="0" applyFont="1"/>
    <xf numFmtId="0" fontId="129" fillId="0" borderId="0" xfId="0" applyFont="1" applyFill="1" applyAlignment="1"/>
    <xf numFmtId="0" fontId="129" fillId="0" borderId="0" xfId="0" applyFont="1" applyFill="1" applyAlignment="1">
      <alignment vertical="center"/>
    </xf>
    <xf numFmtId="0" fontId="0" fillId="0" borderId="0" xfId="0" quotePrefix="1"/>
    <xf numFmtId="3" fontId="81" fillId="3" borderId="0" xfId="0" quotePrefix="1" applyNumberFormat="1" applyFont="1" applyFill="1"/>
    <xf numFmtId="0" fontId="10" fillId="0" borderId="0" xfId="0" quotePrefix="1" applyFont="1"/>
    <xf numFmtId="0" fontId="122" fillId="0" borderId="0" xfId="0" quotePrefix="1" applyFont="1"/>
    <xf numFmtId="3" fontId="7" fillId="0" borderId="0" xfId="0" quotePrefix="1" applyNumberFormat="1" applyFont="1"/>
  </cellXfs>
  <cellStyles count="21">
    <cellStyle name="Comma" xfId="3"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2" builtinId="8"/>
    <cellStyle name="Normal" xfId="0" builtinId="0"/>
    <cellStyle name="Percent" xfId="1" builtinId="5"/>
  </cellStyles>
  <dxfs count="0"/>
  <tableStyles count="0" defaultTableStyle="TableStyleMedium9" defaultPivotStyle="PivotStyleLight16"/>
  <colors>
    <mruColors>
      <color rgb="FFFFCCFF"/>
      <color rgb="FFFF66CC"/>
      <color rgb="FF189C34"/>
      <color rgb="FF0033CC"/>
      <color rgb="FFFFFFCC"/>
      <color rgb="FFE7FFE7"/>
      <color rgb="FF66FF33"/>
      <color rgb="FFCCFFCC"/>
      <color rgb="FFDBF2FD"/>
      <color rgb="FFF3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Sales of ABC's</a:t>
            </a:r>
          </a:p>
        </c:rich>
      </c:tx>
      <c:layout>
        <c:manualLayout>
          <c:xMode val="edge"/>
          <c:yMode val="edge"/>
          <c:x val="0.18000163232480876"/>
          <c:y val="4.1240001509526862E-3"/>
        </c:manualLayout>
      </c:layout>
      <c:overlay val="1"/>
    </c:title>
    <c:autoTitleDeleted val="0"/>
    <c:plotArea>
      <c:layout>
        <c:manualLayout>
          <c:layoutTarget val="inner"/>
          <c:xMode val="edge"/>
          <c:yMode val="edge"/>
          <c:x val="0.16437047862092"/>
          <c:y val="0.15357343010059701"/>
          <c:w val="0.60328336163359886"/>
          <c:h val="0.69857517308631167"/>
        </c:manualLayout>
      </c:layout>
      <c:barChart>
        <c:barDir val="col"/>
        <c:grouping val="stacked"/>
        <c:varyColors val="0"/>
        <c:ser>
          <c:idx val="1"/>
          <c:order val="0"/>
          <c:tx>
            <c:strRef>
              <c:f>'Sales&amp;Revenue'!$A$64</c:f>
              <c:strCache>
                <c:ptCount val="1"/>
                <c:pt idx="0">
                  <c:v>Product C sold</c:v>
                </c:pt>
              </c:strCache>
            </c:strRef>
          </c:tx>
          <c:spPr>
            <a:solidFill>
              <a:srgbClr val="FFC000"/>
            </a:solidFill>
            <a:ln>
              <a:noFill/>
            </a:ln>
          </c:spPr>
          <c:invertIfNegative val="0"/>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'Sales&amp;Revenue'!$D$64:$O$64</c:f>
              <c:numCache>
                <c:formatCode>#,##0</c:formatCode>
                <c:ptCount val="12"/>
                <c:pt idx="0">
                  <c:v>5000</c:v>
                </c:pt>
                <c:pt idx="1">
                  <c:v>5500</c:v>
                </c:pt>
                <c:pt idx="2">
                  <c:v>6050.0000000000009</c:v>
                </c:pt>
                <c:pt idx="3">
                  <c:v>6655.0000000000018</c:v>
                </c:pt>
                <c:pt idx="4">
                  <c:v>7320.5000000000027</c:v>
                </c:pt>
                <c:pt idx="5">
                  <c:v>8052.5500000000038</c:v>
                </c:pt>
                <c:pt idx="6">
                  <c:v>8455.1775000000052</c:v>
                </c:pt>
                <c:pt idx="7">
                  <c:v>8708.832825000005</c:v>
                </c:pt>
                <c:pt idx="8">
                  <c:v>8970.0978097500047</c:v>
                </c:pt>
                <c:pt idx="9">
                  <c:v>9239.2007440425059</c:v>
                </c:pt>
              </c:numCache>
            </c:numRef>
          </c:val>
          <c:extLst>
            <c:ext xmlns:c16="http://schemas.microsoft.com/office/drawing/2014/chart" uri="{C3380CC4-5D6E-409C-BE32-E72D297353CC}">
              <c16:uniqueId val="{00000002-003E-4C0B-AA04-19224DF0D9D4}"/>
            </c:ext>
          </c:extLst>
        </c:ser>
        <c:ser>
          <c:idx val="0"/>
          <c:order val="1"/>
          <c:tx>
            <c:strRef>
              <c:f>'Sales&amp;Revenue'!$A$63</c:f>
              <c:strCache>
                <c:ptCount val="1"/>
                <c:pt idx="0">
                  <c:v>Product B sold</c:v>
                </c:pt>
              </c:strCache>
            </c:strRef>
          </c:tx>
          <c:spPr>
            <a:solidFill>
              <a:srgbClr val="00FF00"/>
            </a:solidFill>
            <a:ln w="76200">
              <a:noFill/>
            </a:ln>
          </c:spPr>
          <c:invertIfNegative val="0"/>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'Sales&amp;Revenue'!$D$63:$O$63</c:f>
              <c:numCache>
                <c:formatCode>#,##0</c:formatCode>
                <c:ptCount val="12"/>
                <c:pt idx="0">
                  <c:v>15000</c:v>
                </c:pt>
                <c:pt idx="1">
                  <c:v>15750</c:v>
                </c:pt>
                <c:pt idx="2">
                  <c:v>17325</c:v>
                </c:pt>
                <c:pt idx="3">
                  <c:v>20790</c:v>
                </c:pt>
                <c:pt idx="4">
                  <c:v>24948</c:v>
                </c:pt>
                <c:pt idx="5">
                  <c:v>29937.599999999999</c:v>
                </c:pt>
                <c:pt idx="6">
                  <c:v>32931.360000000001</c:v>
                </c:pt>
                <c:pt idx="7">
                  <c:v>33919.300800000005</c:v>
                </c:pt>
                <c:pt idx="8">
                  <c:v>34936.879824000003</c:v>
                </c:pt>
                <c:pt idx="9">
                  <c:v>35984.986218720005</c:v>
                </c:pt>
              </c:numCache>
            </c:numRef>
          </c:val>
          <c:extLst>
            <c:ext xmlns:c16="http://schemas.microsoft.com/office/drawing/2014/chart" uri="{C3380CC4-5D6E-409C-BE32-E72D297353CC}">
              <c16:uniqueId val="{00000000-003E-4C0B-AA04-19224DF0D9D4}"/>
            </c:ext>
          </c:extLst>
        </c:ser>
        <c:ser>
          <c:idx val="2"/>
          <c:order val="2"/>
          <c:tx>
            <c:strRef>
              <c:f>'Sales&amp;Revenue'!$A$62</c:f>
              <c:strCache>
                <c:ptCount val="1"/>
                <c:pt idx="0">
                  <c:v>Product A Sold</c:v>
                </c:pt>
              </c:strCache>
            </c:strRef>
          </c:tx>
          <c:spPr>
            <a:solidFill>
              <a:srgbClr val="189C34"/>
            </a:solidFill>
            <a:ln>
              <a:noFill/>
            </a:ln>
          </c:spPr>
          <c:invertIfNegative val="0"/>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'Sales&amp;Revenue'!$D$62:$O$62</c:f>
              <c:numCache>
                <c:formatCode>#,##0</c:formatCode>
                <c:ptCount val="12"/>
                <c:pt idx="0">
                  <c:v>20000</c:v>
                </c:pt>
                <c:pt idx="1">
                  <c:v>21000</c:v>
                </c:pt>
                <c:pt idx="2">
                  <c:v>23100.000000000004</c:v>
                </c:pt>
                <c:pt idx="3">
                  <c:v>27720.000000000004</c:v>
                </c:pt>
                <c:pt idx="4">
                  <c:v>36036.000000000007</c:v>
                </c:pt>
                <c:pt idx="5">
                  <c:v>46846.80000000001</c:v>
                </c:pt>
                <c:pt idx="6">
                  <c:v>53873.820000000007</c:v>
                </c:pt>
                <c:pt idx="7">
                  <c:v>55490.034600000006</c:v>
                </c:pt>
                <c:pt idx="8">
                  <c:v>57154.735638000006</c:v>
                </c:pt>
                <c:pt idx="9">
                  <c:v>58869.377707140004</c:v>
                </c:pt>
              </c:numCache>
            </c:numRef>
          </c:val>
          <c:extLst>
            <c:ext xmlns:c16="http://schemas.microsoft.com/office/drawing/2014/chart" uri="{C3380CC4-5D6E-409C-BE32-E72D297353CC}">
              <c16:uniqueId val="{00000001-003E-4C0B-AA04-19224DF0D9D4}"/>
            </c:ext>
          </c:extLst>
        </c:ser>
        <c:dLbls>
          <c:showLegendKey val="0"/>
          <c:showVal val="0"/>
          <c:showCatName val="0"/>
          <c:showSerName val="0"/>
          <c:showPercent val="0"/>
          <c:showBubbleSize val="0"/>
        </c:dLbls>
        <c:gapWidth val="6"/>
        <c:overlap val="100"/>
        <c:axId val="-2073613424"/>
        <c:axId val="-2118518384"/>
      </c:barChart>
      <c:lineChart>
        <c:grouping val="standard"/>
        <c:varyColors val="0"/>
        <c:ser>
          <c:idx val="3"/>
          <c:order val="3"/>
          <c:tx>
            <c:strRef>
              <c:f>'Sales&amp;Revenue'!$A$98</c:f>
              <c:strCache>
                <c:ptCount val="1"/>
                <c:pt idx="0">
                  <c:v>Sales outside the country</c:v>
                </c:pt>
              </c:strCache>
            </c:strRef>
          </c:tx>
          <c:spPr>
            <a:ln>
              <a:solidFill>
                <a:schemeClr val="tx1"/>
              </a:solidFill>
              <a:prstDash val="sysDash"/>
            </a:ln>
          </c:spPr>
          <c:marker>
            <c:symbol val="none"/>
          </c:marker>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'Sales&amp;Revenue'!$D$98:$O$98</c:f>
              <c:numCache>
                <c:formatCode>#,##0</c:formatCode>
                <c:ptCount val="12"/>
                <c:pt idx="0">
                  <c:v>0</c:v>
                </c:pt>
                <c:pt idx="1">
                  <c:v>4225</c:v>
                </c:pt>
                <c:pt idx="2">
                  <c:v>9295</c:v>
                </c:pt>
                <c:pt idx="3">
                  <c:v>27582.5</c:v>
                </c:pt>
                <c:pt idx="4">
                  <c:v>68304.500000000015</c:v>
                </c:pt>
                <c:pt idx="5">
                  <c:v>101804.34000000001</c:v>
                </c:pt>
                <c:pt idx="6">
                  <c:v>114312.42900000002</c:v>
                </c:pt>
                <c:pt idx="7">
                  <c:v>117741.80187000001</c:v>
                </c:pt>
                <c:pt idx="8">
                  <c:v>121274.05592610002</c:v>
                </c:pt>
                <c:pt idx="9">
                  <c:v>124912.27760388301</c:v>
                </c:pt>
                <c:pt idx="10">
                  <c:v>0</c:v>
                </c:pt>
                <c:pt idx="11">
                  <c:v>0</c:v>
                </c:pt>
              </c:numCache>
            </c:numRef>
          </c:val>
          <c:smooth val="0"/>
          <c:extLst>
            <c:ext xmlns:c16="http://schemas.microsoft.com/office/drawing/2014/chart" uri="{C3380CC4-5D6E-409C-BE32-E72D297353CC}">
              <c16:uniqueId val="{00000000-DB03-4DDD-9B87-4DFCA058B4F0}"/>
            </c:ext>
          </c:extLst>
        </c:ser>
        <c:dLbls>
          <c:showLegendKey val="0"/>
          <c:showVal val="0"/>
          <c:showCatName val="0"/>
          <c:showSerName val="0"/>
          <c:showPercent val="0"/>
          <c:showBubbleSize val="0"/>
        </c:dLbls>
        <c:marker val="1"/>
        <c:smooth val="0"/>
        <c:axId val="-2073613424"/>
        <c:axId val="-2118518384"/>
      </c:lineChart>
      <c:catAx>
        <c:axId val="-2073613424"/>
        <c:scaling>
          <c:orientation val="minMax"/>
        </c:scaling>
        <c:delete val="0"/>
        <c:axPos val="b"/>
        <c:numFmt formatCode="0" sourceLinked="1"/>
        <c:majorTickMark val="out"/>
        <c:minorTickMark val="none"/>
        <c:tickLblPos val="nextTo"/>
        <c:txPr>
          <a:bodyPr/>
          <a:lstStyle/>
          <a:p>
            <a:pPr>
              <a:defRPr sz="1400" b="1"/>
            </a:pPr>
            <a:endParaRPr lang="en-US"/>
          </a:p>
        </c:txPr>
        <c:crossAx val="-2118518384"/>
        <c:crosses val="autoZero"/>
        <c:auto val="1"/>
        <c:lblAlgn val="ctr"/>
        <c:lblOffset val="100"/>
        <c:noMultiLvlLbl val="0"/>
      </c:catAx>
      <c:valAx>
        <c:axId val="-2118518384"/>
        <c:scaling>
          <c:orientation val="minMax"/>
        </c:scaling>
        <c:delete val="0"/>
        <c:axPos val="l"/>
        <c:majorGridlines/>
        <c:title>
          <c:tx>
            <c:rich>
              <a:bodyPr rot="-5400000" vert="horz"/>
              <a:lstStyle/>
              <a:p>
                <a:pPr>
                  <a:defRPr sz="1800" b="1">
                    <a:solidFill>
                      <a:sysClr val="windowText" lastClr="000000"/>
                    </a:solidFill>
                  </a:defRPr>
                </a:pPr>
                <a:r>
                  <a:rPr lang="en-US" sz="1800" b="1">
                    <a:solidFill>
                      <a:sysClr val="windowText" lastClr="000000"/>
                    </a:solidFill>
                  </a:rPr>
                  <a:t>Units</a:t>
                </a:r>
              </a:p>
            </c:rich>
          </c:tx>
          <c:layout>
            <c:manualLayout>
              <c:xMode val="edge"/>
              <c:yMode val="edge"/>
              <c:x val="2.3233574075356499E-2"/>
              <c:y val="0.24521814666405101"/>
            </c:manualLayout>
          </c:layout>
          <c:overlay val="0"/>
        </c:title>
        <c:numFmt formatCode="#,##0" sourceLinked="1"/>
        <c:majorTickMark val="out"/>
        <c:minorTickMark val="none"/>
        <c:tickLblPos val="nextTo"/>
        <c:spPr>
          <a:ln>
            <a:solidFill>
              <a:schemeClr val="tx1"/>
            </a:solidFill>
          </a:ln>
        </c:spPr>
        <c:txPr>
          <a:bodyPr/>
          <a:lstStyle/>
          <a:p>
            <a:pPr>
              <a:defRPr sz="1400" b="1">
                <a:solidFill>
                  <a:sysClr val="windowText" lastClr="000000"/>
                </a:solidFill>
              </a:defRPr>
            </a:pPr>
            <a:endParaRPr lang="en-US"/>
          </a:p>
        </c:txPr>
        <c:crossAx val="-2073613424"/>
        <c:crosses val="autoZero"/>
        <c:crossBetween val="between"/>
      </c:valAx>
    </c:plotArea>
    <c:legend>
      <c:legendPos val="r"/>
      <c:overlay val="0"/>
      <c:txPr>
        <a:bodyPr/>
        <a:lstStyle/>
        <a:p>
          <a:pPr>
            <a:defRPr sz="1400"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400"/>
              <a:t>Pricing of ABC's, </a:t>
            </a:r>
            <a:r>
              <a:rPr lang="en-US" sz="1400"/>
              <a:t>grants and commissions</a:t>
            </a:r>
          </a:p>
        </c:rich>
      </c:tx>
      <c:layout>
        <c:manualLayout>
          <c:xMode val="edge"/>
          <c:yMode val="edge"/>
          <c:x val="0.14885648942252699"/>
          <c:y val="2.2411371113822002E-3"/>
        </c:manualLayout>
      </c:layout>
      <c:overlay val="1"/>
    </c:title>
    <c:autoTitleDeleted val="0"/>
    <c:plotArea>
      <c:layout>
        <c:manualLayout>
          <c:layoutTarget val="inner"/>
          <c:xMode val="edge"/>
          <c:yMode val="edge"/>
          <c:x val="0.116717396581972"/>
          <c:y val="0.16342857010831399"/>
          <c:w val="0.51769180030506701"/>
          <c:h val="0.69229324743498"/>
        </c:manualLayout>
      </c:layout>
      <c:lineChart>
        <c:grouping val="standard"/>
        <c:varyColors val="0"/>
        <c:ser>
          <c:idx val="0"/>
          <c:order val="0"/>
          <c:tx>
            <c:strRef>
              <c:f>'Sales&amp;Revenue'!$A$76</c:f>
              <c:strCache>
                <c:ptCount val="1"/>
                <c:pt idx="0">
                  <c:v>Product A' - selling price</c:v>
                </c:pt>
              </c:strCache>
            </c:strRef>
          </c:tx>
          <c:spPr>
            <a:ln w="41275">
              <a:solidFill>
                <a:srgbClr val="189C34"/>
              </a:solidFill>
            </a:ln>
          </c:spPr>
          <c:marker>
            <c:symbol val="none"/>
          </c:marker>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'Sales&amp;Revenue'!$D$76:$O$76</c:f>
              <c:numCache>
                <c:formatCode>#,##0</c:formatCode>
                <c:ptCount val="12"/>
                <c:pt idx="0">
                  <c:v>38</c:v>
                </c:pt>
                <c:pt idx="1">
                  <c:v>37.24</c:v>
                </c:pt>
                <c:pt idx="2">
                  <c:v>36.495200000000004</c:v>
                </c:pt>
                <c:pt idx="3">
                  <c:v>35.765296000000006</c:v>
                </c:pt>
                <c:pt idx="4">
                  <c:v>35.049990080000008</c:v>
                </c:pt>
                <c:pt idx="5">
                  <c:v>34.348990278400009</c:v>
                </c:pt>
                <c:pt idx="6">
                  <c:v>33.662010472832009</c:v>
                </c:pt>
                <c:pt idx="7">
                  <c:v>32.988770263375365</c:v>
                </c:pt>
                <c:pt idx="8">
                  <c:v>32.328994858107855</c:v>
                </c:pt>
                <c:pt idx="9">
                  <c:v>31.682414960945696</c:v>
                </c:pt>
                <c:pt idx="10">
                  <c:v>31.048766661726781</c:v>
                </c:pt>
                <c:pt idx="11">
                  <c:v>30.427791328492244</c:v>
                </c:pt>
              </c:numCache>
            </c:numRef>
          </c:val>
          <c:smooth val="0"/>
          <c:extLst>
            <c:ext xmlns:c16="http://schemas.microsoft.com/office/drawing/2014/chart" uri="{C3380CC4-5D6E-409C-BE32-E72D297353CC}">
              <c16:uniqueId val="{00000000-CDE5-4A95-8555-6186C2000DAA}"/>
            </c:ext>
          </c:extLst>
        </c:ser>
        <c:ser>
          <c:idx val="1"/>
          <c:order val="1"/>
          <c:tx>
            <c:strRef>
              <c:f>'Sales&amp;Revenue'!$A$77</c:f>
              <c:strCache>
                <c:ptCount val="1"/>
                <c:pt idx="0">
                  <c:v>Product B' - selling price</c:v>
                </c:pt>
              </c:strCache>
            </c:strRef>
          </c:tx>
          <c:spPr>
            <a:ln w="57150">
              <a:solidFill>
                <a:srgbClr val="66FF33"/>
              </a:solidFill>
            </a:ln>
          </c:spPr>
          <c:marker>
            <c:symbol val="none"/>
          </c:marker>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'Sales&amp;Revenue'!$D$77:$O$77</c:f>
              <c:numCache>
                <c:formatCode>#,##0</c:formatCode>
                <c:ptCount val="12"/>
                <c:pt idx="0">
                  <c:v>48</c:v>
                </c:pt>
                <c:pt idx="1">
                  <c:v>47.04</c:v>
                </c:pt>
                <c:pt idx="2">
                  <c:v>46.099199999999996</c:v>
                </c:pt>
                <c:pt idx="3">
                  <c:v>45.177215999999994</c:v>
                </c:pt>
                <c:pt idx="4">
                  <c:v>44.273671679999993</c:v>
                </c:pt>
                <c:pt idx="5">
                  <c:v>43.388198246399995</c:v>
                </c:pt>
                <c:pt idx="6">
                  <c:v>42.520434281471992</c:v>
                </c:pt>
                <c:pt idx="7">
                  <c:v>41.670025595842553</c:v>
                </c:pt>
                <c:pt idx="8">
                  <c:v>40.836625083925703</c:v>
                </c:pt>
                <c:pt idx="9">
                  <c:v>40.019892582247188</c:v>
                </c:pt>
                <c:pt idx="10">
                  <c:v>39.219494730602243</c:v>
                </c:pt>
                <c:pt idx="11">
                  <c:v>38.435104835990195</c:v>
                </c:pt>
              </c:numCache>
            </c:numRef>
          </c:val>
          <c:smooth val="0"/>
          <c:extLst>
            <c:ext xmlns:c16="http://schemas.microsoft.com/office/drawing/2014/chart" uri="{C3380CC4-5D6E-409C-BE32-E72D297353CC}">
              <c16:uniqueId val="{00000003-CDE5-4A95-8555-6186C2000DAA}"/>
            </c:ext>
          </c:extLst>
        </c:ser>
        <c:ser>
          <c:idx val="2"/>
          <c:order val="2"/>
          <c:tx>
            <c:strRef>
              <c:f>'Sales&amp;Revenue'!$A$78</c:f>
              <c:strCache>
                <c:ptCount val="1"/>
                <c:pt idx="0">
                  <c:v>Product C' - selling price</c:v>
                </c:pt>
              </c:strCache>
            </c:strRef>
          </c:tx>
          <c:spPr>
            <a:ln w="60325">
              <a:solidFill>
                <a:srgbClr val="FFC000"/>
              </a:solidFill>
            </a:ln>
          </c:spPr>
          <c:marker>
            <c:symbol val="none"/>
          </c:marker>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'Sales&amp;Revenue'!$D$78:$O$78</c:f>
              <c:numCache>
                <c:formatCode>#,##0</c:formatCode>
                <c:ptCount val="12"/>
                <c:pt idx="0">
                  <c:v>58</c:v>
                </c:pt>
                <c:pt idx="1">
                  <c:v>56.839999999999996</c:v>
                </c:pt>
                <c:pt idx="2">
                  <c:v>55.703199999999995</c:v>
                </c:pt>
                <c:pt idx="3">
                  <c:v>54.589135999999996</c:v>
                </c:pt>
                <c:pt idx="4">
                  <c:v>53.497353279999999</c:v>
                </c:pt>
                <c:pt idx="5">
                  <c:v>52.427406214400001</c:v>
                </c:pt>
                <c:pt idx="6">
                  <c:v>51.378858090111997</c:v>
                </c:pt>
                <c:pt idx="7">
                  <c:v>50.351280928309755</c:v>
                </c:pt>
                <c:pt idx="8">
                  <c:v>49.344255309743559</c:v>
                </c:pt>
                <c:pt idx="9">
                  <c:v>48.35737020354869</c:v>
                </c:pt>
                <c:pt idx="10">
                  <c:v>47.390222799477712</c:v>
                </c:pt>
                <c:pt idx="11">
                  <c:v>46.442418343488157</c:v>
                </c:pt>
              </c:numCache>
            </c:numRef>
          </c:val>
          <c:smooth val="0"/>
          <c:extLst>
            <c:ext xmlns:c16="http://schemas.microsoft.com/office/drawing/2014/chart" uri="{C3380CC4-5D6E-409C-BE32-E72D297353CC}">
              <c16:uniqueId val="{00000004-CDE5-4A95-8555-6186C2000DAA}"/>
            </c:ext>
          </c:extLst>
        </c:ser>
        <c:ser>
          <c:idx val="3"/>
          <c:order val="3"/>
          <c:tx>
            <c:strRef>
              <c:f>'Sales&amp;Revenue'!$A$90</c:f>
              <c:strCache>
                <c:ptCount val="1"/>
                <c:pt idx="0">
                  <c:v>Cash grants from results based financing</c:v>
                </c:pt>
              </c:strCache>
            </c:strRef>
          </c:tx>
          <c:spPr>
            <a:ln w="50800">
              <a:solidFill>
                <a:srgbClr val="0033CC"/>
              </a:solidFill>
              <a:prstDash val="solid"/>
            </a:ln>
          </c:spPr>
          <c:marker>
            <c:symbol val="none"/>
          </c:marker>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'Sales&amp;Revenue'!$D$90:$O$90</c:f>
              <c:numCache>
                <c:formatCode>#,##0</c:formatCode>
                <c:ptCount val="12"/>
                <c:pt idx="0">
                  <c:v>2</c:v>
                </c:pt>
                <c:pt idx="1">
                  <c:v>2</c:v>
                </c:pt>
                <c:pt idx="2">
                  <c:v>2</c:v>
                </c:pt>
                <c:pt idx="3">
                  <c:v>2</c:v>
                </c:pt>
                <c:pt idx="4">
                  <c:v>2</c:v>
                </c:pt>
                <c:pt idx="5">
                  <c:v>2</c:v>
                </c:pt>
                <c:pt idx="6">
                  <c:v>2</c:v>
                </c:pt>
                <c:pt idx="7">
                  <c:v>2</c:v>
                </c:pt>
                <c:pt idx="8">
                  <c:v>2</c:v>
                </c:pt>
                <c:pt idx="9">
                  <c:v>2</c:v>
                </c:pt>
                <c:pt idx="10">
                  <c:v>2</c:v>
                </c:pt>
                <c:pt idx="11">
                  <c:v>2</c:v>
                </c:pt>
              </c:numCache>
            </c:numRef>
          </c:val>
          <c:smooth val="0"/>
          <c:extLst>
            <c:ext xmlns:c16="http://schemas.microsoft.com/office/drawing/2014/chart" uri="{C3380CC4-5D6E-409C-BE32-E72D297353CC}">
              <c16:uniqueId val="{00000000-7E2D-4DE1-88EA-7C4556A7CA62}"/>
            </c:ext>
          </c:extLst>
        </c:ser>
        <c:ser>
          <c:idx val="4"/>
          <c:order val="4"/>
          <c:tx>
            <c:strRef>
              <c:f>'Sales&amp;Revenue'!$A$101</c:f>
              <c:strCache>
                <c:ptCount val="1"/>
                <c:pt idx="0">
                  <c:v>commission per ABC sold outside country</c:v>
                </c:pt>
              </c:strCache>
            </c:strRef>
          </c:tx>
          <c:spPr>
            <a:ln w="44450">
              <a:solidFill>
                <a:schemeClr val="accent4">
                  <a:lumMod val="75000"/>
                </a:schemeClr>
              </a:solidFill>
              <a:prstDash val="dash"/>
            </a:ln>
          </c:spPr>
          <c:marker>
            <c:symbol val="none"/>
          </c:marker>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'Sales&amp;Revenue'!$D$101:$O$101</c:f>
              <c:numCache>
                <c:formatCode>#,##0.00</c:formatCod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extLst>
            <c:ext xmlns:c16="http://schemas.microsoft.com/office/drawing/2014/chart" uri="{C3380CC4-5D6E-409C-BE32-E72D297353CC}">
              <c16:uniqueId val="{00000001-7E2D-4DE1-88EA-7C4556A7CA62}"/>
            </c:ext>
          </c:extLst>
        </c:ser>
        <c:dLbls>
          <c:showLegendKey val="0"/>
          <c:showVal val="0"/>
          <c:showCatName val="0"/>
          <c:showSerName val="0"/>
          <c:showPercent val="0"/>
          <c:showBubbleSize val="0"/>
        </c:dLbls>
        <c:smooth val="0"/>
        <c:axId val="-2139685040"/>
        <c:axId val="-2122286416"/>
      </c:lineChart>
      <c:catAx>
        <c:axId val="-2139685040"/>
        <c:scaling>
          <c:orientation val="minMax"/>
        </c:scaling>
        <c:delete val="0"/>
        <c:axPos val="b"/>
        <c:numFmt formatCode="0" sourceLinked="1"/>
        <c:majorTickMark val="out"/>
        <c:minorTickMark val="none"/>
        <c:tickLblPos val="nextTo"/>
        <c:txPr>
          <a:bodyPr/>
          <a:lstStyle/>
          <a:p>
            <a:pPr>
              <a:defRPr sz="1400" b="1"/>
            </a:pPr>
            <a:endParaRPr lang="en-US"/>
          </a:p>
        </c:txPr>
        <c:crossAx val="-2122286416"/>
        <c:crosses val="autoZero"/>
        <c:auto val="1"/>
        <c:lblAlgn val="ctr"/>
        <c:lblOffset val="100"/>
        <c:noMultiLvlLbl val="0"/>
      </c:catAx>
      <c:valAx>
        <c:axId val="-2122286416"/>
        <c:scaling>
          <c:orientation val="minMax"/>
        </c:scaling>
        <c:delete val="0"/>
        <c:axPos val="l"/>
        <c:majorGridlines>
          <c:spPr>
            <a:ln>
              <a:prstDash val="sysDot"/>
            </a:ln>
          </c:spPr>
        </c:majorGridlines>
        <c:title>
          <c:tx>
            <c:rich>
              <a:bodyPr rot="-5400000" vert="horz"/>
              <a:lstStyle/>
              <a:p>
                <a:pPr>
                  <a:defRPr sz="1800" b="1">
                    <a:solidFill>
                      <a:sysClr val="windowText" lastClr="000000"/>
                    </a:solidFill>
                  </a:defRPr>
                </a:pPr>
                <a:r>
                  <a:rPr lang="en-US" sz="1800" b="1">
                    <a:solidFill>
                      <a:sysClr val="windowText" lastClr="000000"/>
                    </a:solidFill>
                  </a:rPr>
                  <a:t>US$ Real</a:t>
                </a:r>
              </a:p>
            </c:rich>
          </c:tx>
          <c:layout>
            <c:manualLayout>
              <c:xMode val="edge"/>
              <c:yMode val="edge"/>
              <c:x val="1.2277139344068501E-2"/>
              <c:y val="0.245541251480733"/>
            </c:manualLayout>
          </c:layout>
          <c:overlay val="0"/>
          <c:spPr>
            <a:solidFill>
              <a:sysClr val="window" lastClr="FFFFFF"/>
            </a:solidFill>
          </c:spPr>
        </c:title>
        <c:numFmt formatCode="#,##0" sourceLinked="1"/>
        <c:majorTickMark val="out"/>
        <c:minorTickMark val="none"/>
        <c:tickLblPos val="nextTo"/>
        <c:txPr>
          <a:bodyPr/>
          <a:lstStyle/>
          <a:p>
            <a:pPr>
              <a:defRPr sz="1400" b="1">
                <a:solidFill>
                  <a:sysClr val="windowText" lastClr="000000"/>
                </a:solidFill>
              </a:defRPr>
            </a:pPr>
            <a:endParaRPr lang="en-US"/>
          </a:p>
        </c:txPr>
        <c:crossAx val="-2139685040"/>
        <c:crosses val="autoZero"/>
        <c:crossBetween val="between"/>
      </c:valAx>
      <c:spPr>
        <a:ln>
          <a:solidFill>
            <a:srgbClr val="0033CC"/>
          </a:solidFill>
          <a:prstDash val="sysDash"/>
        </a:ln>
      </c:spPr>
    </c:plotArea>
    <c:legend>
      <c:legendPos val="r"/>
      <c:layout>
        <c:manualLayout>
          <c:xMode val="edge"/>
          <c:yMode val="edge"/>
          <c:x val="0.64317539496044696"/>
          <c:y val="6.5202765147314296E-2"/>
          <c:w val="0.34970260589154101"/>
          <c:h val="0.87983774755428301"/>
        </c:manualLayout>
      </c:layout>
      <c:overlay val="0"/>
      <c:txPr>
        <a:bodyPr/>
        <a:lstStyle/>
        <a:p>
          <a:pPr>
            <a:defRPr sz="1400" b="1"/>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Revenue</a:t>
            </a:r>
            <a:r>
              <a:rPr lang="en-US" sz="2400" baseline="0"/>
              <a:t> </a:t>
            </a:r>
            <a:endParaRPr lang="en-US" sz="2400"/>
          </a:p>
        </c:rich>
      </c:tx>
      <c:layout>
        <c:manualLayout>
          <c:xMode val="edge"/>
          <c:yMode val="edge"/>
          <c:x val="0.20310483674034199"/>
          <c:y val="4.3168167710161749E-2"/>
        </c:manualLayout>
      </c:layout>
      <c:overlay val="1"/>
    </c:title>
    <c:autoTitleDeleted val="0"/>
    <c:plotArea>
      <c:layout>
        <c:manualLayout>
          <c:layoutTarget val="inner"/>
          <c:xMode val="edge"/>
          <c:yMode val="edge"/>
          <c:x val="0.124188800299334"/>
          <c:y val="0.18153867390051801"/>
          <c:w val="0.54925482897112099"/>
          <c:h val="0.66826647621791202"/>
        </c:manualLayout>
      </c:layout>
      <c:barChart>
        <c:barDir val="col"/>
        <c:grouping val="stacked"/>
        <c:varyColors val="0"/>
        <c:ser>
          <c:idx val="1"/>
          <c:order val="0"/>
          <c:tx>
            <c:strRef>
              <c:f>'Sales&amp;Revenue'!$A$83</c:f>
              <c:strCache>
                <c:ptCount val="1"/>
                <c:pt idx="0">
                  <c:v>Product C revenue</c:v>
                </c:pt>
              </c:strCache>
            </c:strRef>
          </c:tx>
          <c:spPr>
            <a:solidFill>
              <a:srgbClr val="FFC000"/>
            </a:solidFill>
            <a:ln>
              <a:noFill/>
            </a:ln>
          </c:spPr>
          <c:invertIfNegative val="0"/>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'Sales&amp;Revenue'!$D$83:$O$83</c:f>
              <c:numCache>
                <c:formatCode>#,##0</c:formatCode>
                <c:ptCount val="12"/>
                <c:pt idx="0">
                  <c:v>290</c:v>
                </c:pt>
                <c:pt idx="1">
                  <c:v>312.62</c:v>
                </c:pt>
                <c:pt idx="2">
                  <c:v>337.00436000000002</c:v>
                </c:pt>
                <c:pt idx="3">
                  <c:v>363.29070008000008</c:v>
                </c:pt>
                <c:pt idx="4">
                  <c:v>391.62737468624016</c:v>
                </c:pt>
                <c:pt idx="5">
                  <c:v>422.1743099117669</c:v>
                </c:pt>
                <c:pt idx="6">
                  <c:v>434.41736489920817</c:v>
                </c:pt>
                <c:pt idx="7">
                  <c:v>438.50088812926072</c:v>
                </c:pt>
                <c:pt idx="8">
                  <c:v>442.62279647767571</c:v>
                </c:pt>
                <c:pt idx="9">
                  <c:v>446.78345076456594</c:v>
                </c:pt>
                <c:pt idx="10">
                  <c:v>0</c:v>
                </c:pt>
                <c:pt idx="11">
                  <c:v>0</c:v>
                </c:pt>
              </c:numCache>
            </c:numRef>
          </c:val>
          <c:extLst>
            <c:ext xmlns:c16="http://schemas.microsoft.com/office/drawing/2014/chart" uri="{C3380CC4-5D6E-409C-BE32-E72D297353CC}">
              <c16:uniqueId val="{00000002-D289-4FAC-AF43-0AD08432F578}"/>
            </c:ext>
          </c:extLst>
        </c:ser>
        <c:ser>
          <c:idx val="0"/>
          <c:order val="1"/>
          <c:tx>
            <c:strRef>
              <c:f>'Sales&amp;Revenue'!$A$82</c:f>
              <c:strCache>
                <c:ptCount val="1"/>
                <c:pt idx="0">
                  <c:v>Product B revenue</c:v>
                </c:pt>
              </c:strCache>
            </c:strRef>
          </c:tx>
          <c:spPr>
            <a:solidFill>
              <a:srgbClr val="00FF00"/>
            </a:solidFill>
            <a:ln w="76200">
              <a:noFill/>
            </a:ln>
          </c:spPr>
          <c:invertIfNegative val="0"/>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'Sales&amp;Revenue'!$D$82:$O$82</c:f>
              <c:numCache>
                <c:formatCode>#,##0</c:formatCode>
                <c:ptCount val="12"/>
                <c:pt idx="0">
                  <c:v>720</c:v>
                </c:pt>
                <c:pt idx="1">
                  <c:v>740.88</c:v>
                </c:pt>
                <c:pt idx="2">
                  <c:v>798.66863999999987</c:v>
                </c:pt>
                <c:pt idx="3">
                  <c:v>939.23432063999996</c:v>
                </c:pt>
                <c:pt idx="4">
                  <c:v>1104.5395610726398</c:v>
                </c:pt>
                <c:pt idx="5">
                  <c:v>1298.9385238214245</c:v>
                </c:pt>
                <c:pt idx="6">
                  <c:v>1400.2557286794956</c:v>
                </c:pt>
                <c:pt idx="7">
                  <c:v>1413.4181325290829</c:v>
                </c:pt>
                <c:pt idx="8">
                  <c:v>1426.7042629748564</c:v>
                </c:pt>
                <c:pt idx="9">
                  <c:v>1440.11528304682</c:v>
                </c:pt>
                <c:pt idx="10">
                  <c:v>0</c:v>
                </c:pt>
                <c:pt idx="11">
                  <c:v>0</c:v>
                </c:pt>
              </c:numCache>
            </c:numRef>
          </c:val>
          <c:extLst>
            <c:ext xmlns:c16="http://schemas.microsoft.com/office/drawing/2014/chart" uri="{C3380CC4-5D6E-409C-BE32-E72D297353CC}">
              <c16:uniqueId val="{00000000-D289-4FAC-AF43-0AD08432F578}"/>
            </c:ext>
          </c:extLst>
        </c:ser>
        <c:ser>
          <c:idx val="2"/>
          <c:order val="2"/>
          <c:tx>
            <c:strRef>
              <c:f>'Sales&amp;Revenue'!$A$81</c:f>
              <c:strCache>
                <c:ptCount val="1"/>
                <c:pt idx="0">
                  <c:v>Product A revenue</c:v>
                </c:pt>
              </c:strCache>
            </c:strRef>
          </c:tx>
          <c:spPr>
            <a:solidFill>
              <a:srgbClr val="189C34"/>
            </a:solidFill>
            <a:ln>
              <a:noFill/>
            </a:ln>
          </c:spPr>
          <c:invertIfNegative val="0"/>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'Sales&amp;Revenue'!$D$81:$O$81</c:f>
              <c:numCache>
                <c:formatCode>#,##0</c:formatCode>
                <c:ptCount val="12"/>
                <c:pt idx="0">
                  <c:v>760</c:v>
                </c:pt>
                <c:pt idx="1">
                  <c:v>782.04</c:v>
                </c:pt>
                <c:pt idx="2">
                  <c:v>843.03912000000025</c:v>
                </c:pt>
                <c:pt idx="3">
                  <c:v>991.4140051200003</c:v>
                </c:pt>
                <c:pt idx="4">
                  <c:v>1263.0614425228807</c:v>
                </c:pt>
                <c:pt idx="5">
                  <c:v>1609.14027777415</c:v>
                </c:pt>
                <c:pt idx="6">
                  <c:v>1813.5010930514668</c:v>
                </c:pt>
                <c:pt idx="7">
                  <c:v>1830.5480033261504</c:v>
                </c:pt>
                <c:pt idx="8">
                  <c:v>1847.7551545574161</c:v>
                </c:pt>
                <c:pt idx="9">
                  <c:v>1865.1240530102555</c:v>
                </c:pt>
                <c:pt idx="10">
                  <c:v>0</c:v>
                </c:pt>
                <c:pt idx="11">
                  <c:v>0</c:v>
                </c:pt>
              </c:numCache>
            </c:numRef>
          </c:val>
          <c:extLst>
            <c:ext xmlns:c16="http://schemas.microsoft.com/office/drawing/2014/chart" uri="{C3380CC4-5D6E-409C-BE32-E72D297353CC}">
              <c16:uniqueId val="{00000001-D289-4FAC-AF43-0AD08432F578}"/>
            </c:ext>
          </c:extLst>
        </c:ser>
        <c:ser>
          <c:idx val="6"/>
          <c:order val="3"/>
          <c:tx>
            <c:strRef>
              <c:f>'Sales&amp;Revenue'!$A$91</c:f>
              <c:strCache>
                <c:ptCount val="1"/>
                <c:pt idx="0">
                  <c:v>Cash Grants from Results Based Financing </c:v>
                </c:pt>
              </c:strCache>
            </c:strRef>
          </c:tx>
          <c:spPr>
            <a:solidFill>
              <a:schemeClr val="accent6">
                <a:lumMod val="60000"/>
                <a:lumOff val="40000"/>
              </a:schemeClr>
            </a:solidFill>
          </c:spPr>
          <c:invertIfNegative val="0"/>
          <c:val>
            <c:numRef>
              <c:f>'Sales&amp;Revenue'!$D$91:$O$91</c:f>
              <c:numCache>
                <c:formatCode>#,##0</c:formatCode>
                <c:ptCount val="12"/>
                <c:pt idx="0">
                  <c:v>80</c:v>
                </c:pt>
                <c:pt idx="1">
                  <c:v>84.5</c:v>
                </c:pt>
                <c:pt idx="2">
                  <c:v>92.95</c:v>
                </c:pt>
                <c:pt idx="3">
                  <c:v>110.33</c:v>
                </c:pt>
                <c:pt idx="4">
                  <c:v>136.60900000000004</c:v>
                </c:pt>
                <c:pt idx="5">
                  <c:v>169.67390000000003</c:v>
                </c:pt>
                <c:pt idx="6">
                  <c:v>190.52071500000002</c:v>
                </c:pt>
                <c:pt idx="7">
                  <c:v>196.23633645000004</c:v>
                </c:pt>
                <c:pt idx="8">
                  <c:v>202.12342654350005</c:v>
                </c:pt>
                <c:pt idx="9">
                  <c:v>208.18712933980501</c:v>
                </c:pt>
                <c:pt idx="10">
                  <c:v>0</c:v>
                </c:pt>
                <c:pt idx="11">
                  <c:v>0</c:v>
                </c:pt>
              </c:numCache>
            </c:numRef>
          </c:val>
          <c:extLst>
            <c:ext xmlns:c16="http://schemas.microsoft.com/office/drawing/2014/chart" uri="{C3380CC4-5D6E-409C-BE32-E72D297353CC}">
              <c16:uniqueId val="{00000001-A882-4D93-8B18-B74C37DBB6F4}"/>
            </c:ext>
          </c:extLst>
        </c:ser>
        <c:ser>
          <c:idx val="5"/>
          <c:order val="4"/>
          <c:tx>
            <c:strRef>
              <c:f>'Sales&amp;Revenue'!$A$102</c:f>
              <c:strCache>
                <c:ptCount val="1"/>
                <c:pt idx="0">
                  <c:v>Commissions from international sales of ABC's</c:v>
                </c:pt>
              </c:strCache>
            </c:strRef>
          </c:tx>
          <c:spPr>
            <a:solidFill>
              <a:srgbClr val="FF3300"/>
            </a:solidFill>
          </c:spPr>
          <c:invertIfNegative val="0"/>
          <c:val>
            <c:numRef>
              <c:f>'Sales&amp;Revenue'!$D$102:$O$102</c:f>
              <c:numCache>
                <c:formatCode>#,##0</c:formatCode>
                <c:ptCount val="12"/>
                <c:pt idx="0">
                  <c:v>0</c:v>
                </c:pt>
                <c:pt idx="1">
                  <c:v>6.3375000000000004</c:v>
                </c:pt>
                <c:pt idx="2">
                  <c:v>13.942500000000001</c:v>
                </c:pt>
                <c:pt idx="3">
                  <c:v>41.373750000000001</c:v>
                </c:pt>
                <c:pt idx="4">
                  <c:v>102.45675000000003</c:v>
                </c:pt>
                <c:pt idx="5">
                  <c:v>152.70651000000001</c:v>
                </c:pt>
                <c:pt idx="6">
                  <c:v>171.46864350000004</c:v>
                </c:pt>
                <c:pt idx="7">
                  <c:v>176.612702805</c:v>
                </c:pt>
                <c:pt idx="8">
                  <c:v>181.91108388915004</c:v>
                </c:pt>
                <c:pt idx="9">
                  <c:v>187.36841640582452</c:v>
                </c:pt>
                <c:pt idx="10">
                  <c:v>0</c:v>
                </c:pt>
                <c:pt idx="11">
                  <c:v>0</c:v>
                </c:pt>
              </c:numCache>
            </c:numRef>
          </c:val>
          <c:extLst>
            <c:ext xmlns:c16="http://schemas.microsoft.com/office/drawing/2014/chart" uri="{C3380CC4-5D6E-409C-BE32-E72D297353CC}">
              <c16:uniqueId val="{00000000-A882-4D93-8B18-B74C37DBB6F4}"/>
            </c:ext>
          </c:extLst>
        </c:ser>
        <c:dLbls>
          <c:showLegendKey val="0"/>
          <c:showVal val="0"/>
          <c:showCatName val="0"/>
          <c:showSerName val="0"/>
          <c:showPercent val="0"/>
          <c:showBubbleSize val="0"/>
        </c:dLbls>
        <c:gapWidth val="5"/>
        <c:overlap val="100"/>
        <c:axId val="-2084933392"/>
        <c:axId val="-2139791296"/>
      </c:barChart>
      <c:lineChart>
        <c:grouping val="standard"/>
        <c:varyColors val="0"/>
        <c:ser>
          <c:idx val="3"/>
          <c:order val="5"/>
          <c:tx>
            <c:strRef>
              <c:f>'Sales&amp;Revenue'!$A$120</c:f>
              <c:strCache>
                <c:ptCount val="1"/>
                <c:pt idx="0">
                  <c:v>Total debtors - at end of year</c:v>
                </c:pt>
              </c:strCache>
            </c:strRef>
          </c:tx>
          <c:spPr>
            <a:ln>
              <a:solidFill>
                <a:schemeClr val="tx1"/>
              </a:solidFill>
            </a:ln>
          </c:spPr>
          <c:marker>
            <c:symbol val="none"/>
          </c:marker>
          <c:cat>
            <c:numRef>
              <c:f>'Sales&amp;Revenue'!$D$52:$O$52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'Sales&amp;Revenue'!$D$120:$O$120</c:f>
              <c:numCache>
                <c:formatCode>#,##0</c:formatCode>
                <c:ptCount val="12"/>
                <c:pt idx="0">
                  <c:v>108</c:v>
                </c:pt>
                <c:pt idx="1">
                  <c:v>115.9474589041096</c:v>
                </c:pt>
                <c:pt idx="2">
                  <c:v>129.48848542465754</c:v>
                </c:pt>
                <c:pt idx="3">
                  <c:v>164.0463907171507</c:v>
                </c:pt>
                <c:pt idx="4">
                  <c:v>225.6937795779306</c:v>
                </c:pt>
                <c:pt idx="5">
                  <c:v>289.36755778384327</c:v>
                </c:pt>
                <c:pt idx="6">
                  <c:v>321.42052388581476</c:v>
                </c:pt>
                <c:pt idx="7">
                  <c:v>328.18058224506274</c:v>
                </c:pt>
                <c:pt idx="8">
                  <c:v>335.11634631592949</c:v>
                </c:pt>
                <c:pt idx="9">
                  <c:v>342.23283256699506</c:v>
                </c:pt>
                <c:pt idx="10">
                  <c:v>0</c:v>
                </c:pt>
                <c:pt idx="11">
                  <c:v>0</c:v>
                </c:pt>
              </c:numCache>
            </c:numRef>
          </c:val>
          <c:smooth val="0"/>
          <c:extLst>
            <c:ext xmlns:c16="http://schemas.microsoft.com/office/drawing/2014/chart" uri="{C3380CC4-5D6E-409C-BE32-E72D297353CC}">
              <c16:uniqueId val="{00000004-D289-4FAC-AF43-0AD08432F578}"/>
            </c:ext>
          </c:extLst>
        </c:ser>
        <c:dLbls>
          <c:showLegendKey val="0"/>
          <c:showVal val="0"/>
          <c:showCatName val="0"/>
          <c:showSerName val="0"/>
          <c:showPercent val="0"/>
          <c:showBubbleSize val="0"/>
        </c:dLbls>
        <c:marker val="1"/>
        <c:smooth val="0"/>
        <c:axId val="-2084933392"/>
        <c:axId val="-2139791296"/>
      </c:lineChart>
      <c:catAx>
        <c:axId val="-2084933392"/>
        <c:scaling>
          <c:orientation val="minMax"/>
        </c:scaling>
        <c:delete val="0"/>
        <c:axPos val="b"/>
        <c:numFmt formatCode="0" sourceLinked="1"/>
        <c:majorTickMark val="out"/>
        <c:minorTickMark val="none"/>
        <c:tickLblPos val="nextTo"/>
        <c:txPr>
          <a:bodyPr/>
          <a:lstStyle/>
          <a:p>
            <a:pPr>
              <a:defRPr sz="1400" b="0"/>
            </a:pPr>
            <a:endParaRPr lang="en-US"/>
          </a:p>
        </c:txPr>
        <c:crossAx val="-2139791296"/>
        <c:crosses val="autoZero"/>
        <c:auto val="1"/>
        <c:lblAlgn val="ctr"/>
        <c:lblOffset val="100"/>
        <c:noMultiLvlLbl val="0"/>
      </c:catAx>
      <c:valAx>
        <c:axId val="-2139791296"/>
        <c:scaling>
          <c:orientation val="minMax"/>
        </c:scaling>
        <c:delete val="0"/>
        <c:axPos val="l"/>
        <c:majorGridlines/>
        <c:title>
          <c:tx>
            <c:rich>
              <a:bodyPr rot="-5400000" vert="horz"/>
              <a:lstStyle/>
              <a:p>
                <a:pPr>
                  <a:defRPr sz="1800" b="1">
                    <a:solidFill>
                      <a:sysClr val="windowText" lastClr="000000"/>
                    </a:solidFill>
                  </a:defRPr>
                </a:pPr>
                <a:r>
                  <a:rPr lang="en-US" sz="1800" b="1">
                    <a:solidFill>
                      <a:sysClr val="windowText" lastClr="000000"/>
                    </a:solidFill>
                  </a:rPr>
                  <a:t>US$ 000  Real</a:t>
                </a:r>
              </a:p>
            </c:rich>
          </c:tx>
          <c:layout>
            <c:manualLayout>
              <c:xMode val="edge"/>
              <c:yMode val="edge"/>
              <c:x val="1.8557377492761901E-2"/>
              <c:y val="0.26566981147173702"/>
            </c:manualLayout>
          </c:layout>
          <c:overlay val="0"/>
        </c:title>
        <c:numFmt formatCode="#,##0" sourceLinked="1"/>
        <c:majorTickMark val="out"/>
        <c:minorTickMark val="none"/>
        <c:tickLblPos val="nextTo"/>
        <c:spPr>
          <a:ln>
            <a:solidFill>
              <a:schemeClr val="tx1"/>
            </a:solidFill>
          </a:ln>
        </c:spPr>
        <c:txPr>
          <a:bodyPr/>
          <a:lstStyle/>
          <a:p>
            <a:pPr>
              <a:defRPr sz="1400" b="1">
                <a:solidFill>
                  <a:sysClr val="windowText" lastClr="000000"/>
                </a:solidFill>
              </a:defRPr>
            </a:pPr>
            <a:endParaRPr lang="en-US"/>
          </a:p>
        </c:txPr>
        <c:crossAx val="-2084933392"/>
        <c:crosses val="autoZero"/>
        <c:crossBetween val="between"/>
      </c:valAx>
    </c:plotArea>
    <c:legend>
      <c:legendPos val="r"/>
      <c:layout>
        <c:manualLayout>
          <c:xMode val="edge"/>
          <c:yMode val="edge"/>
          <c:x val="0.68946256073660905"/>
          <c:y val="4.1583245310799502E-2"/>
          <c:w val="0.30317366901302301"/>
          <c:h val="0.81266684271173395"/>
        </c:manualLayout>
      </c:layout>
      <c:overlay val="0"/>
      <c:txPr>
        <a:bodyPr/>
        <a:lstStyle/>
        <a:p>
          <a:pPr>
            <a:defRPr sz="1400" b="1"/>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Capital Costs &amp; Operating Costs</a:t>
            </a:r>
          </a:p>
        </c:rich>
      </c:tx>
      <c:layout>
        <c:manualLayout>
          <c:xMode val="edge"/>
          <c:yMode val="edge"/>
          <c:x val="0.128868051045993"/>
          <c:y val="3.22095112086399E-2"/>
        </c:manualLayout>
      </c:layout>
      <c:overlay val="1"/>
    </c:title>
    <c:autoTitleDeleted val="0"/>
    <c:plotArea>
      <c:layout>
        <c:manualLayout>
          <c:layoutTarget val="inner"/>
          <c:xMode val="edge"/>
          <c:yMode val="edge"/>
          <c:x val="9.8908655337410403E-2"/>
          <c:y val="0.15249321738823099"/>
          <c:w val="0.51272321155625478"/>
          <c:h val="0.69110974925304203"/>
        </c:manualLayout>
      </c:layout>
      <c:barChart>
        <c:barDir val="col"/>
        <c:grouping val="stacked"/>
        <c:varyColors val="0"/>
        <c:ser>
          <c:idx val="2"/>
          <c:order val="0"/>
          <c:tx>
            <c:strRef>
              <c:f>'Capital &amp; Operating Costs'!$A$142</c:f>
              <c:strCache>
                <c:ptCount val="1"/>
                <c:pt idx="0">
                  <c:v>3c i. Fixed Costs - People</c:v>
                </c:pt>
              </c:strCache>
            </c:strRef>
          </c:tx>
          <c:spPr>
            <a:solidFill>
              <a:srgbClr val="FFFFCC"/>
            </a:solidFill>
            <a:ln>
              <a:solidFill>
                <a:schemeClr val="accent6">
                  <a:lumMod val="60000"/>
                  <a:lumOff val="40000"/>
                </a:schemeClr>
              </a:solidFill>
            </a:ln>
          </c:spPr>
          <c:invertIfNegative val="0"/>
          <c:cat>
            <c:numRef>
              <c:f>'Capital &amp; Operating Costs'!$D$25:$O$25</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'Capital &amp; Operating Costs'!$D$142:$O$142</c:f>
              <c:numCache>
                <c:formatCode>#,##0</c:formatCode>
                <c:ptCount val="12"/>
                <c:pt idx="0">
                  <c:v>152.7174</c:v>
                </c:pt>
                <c:pt idx="1">
                  <c:v>152.7174</c:v>
                </c:pt>
                <c:pt idx="2">
                  <c:v>165.7174</c:v>
                </c:pt>
                <c:pt idx="3">
                  <c:v>178.7174</c:v>
                </c:pt>
                <c:pt idx="4">
                  <c:v>178.7174</c:v>
                </c:pt>
                <c:pt idx="5">
                  <c:v>178.7174</c:v>
                </c:pt>
                <c:pt idx="6">
                  <c:v>178.7174</c:v>
                </c:pt>
                <c:pt idx="7">
                  <c:v>178.7174</c:v>
                </c:pt>
                <c:pt idx="8">
                  <c:v>178.7174</c:v>
                </c:pt>
                <c:pt idx="9">
                  <c:v>178.7174</c:v>
                </c:pt>
                <c:pt idx="10">
                  <c:v>0</c:v>
                </c:pt>
                <c:pt idx="11">
                  <c:v>0</c:v>
                </c:pt>
              </c:numCache>
            </c:numRef>
          </c:val>
          <c:extLst>
            <c:ext xmlns:c16="http://schemas.microsoft.com/office/drawing/2014/chart" uri="{C3380CC4-5D6E-409C-BE32-E72D297353CC}">
              <c16:uniqueId val="{00000001-0FFF-4EA8-9A75-67DC13C5D98A}"/>
            </c:ext>
          </c:extLst>
        </c:ser>
        <c:ser>
          <c:idx val="5"/>
          <c:order val="1"/>
          <c:tx>
            <c:strRef>
              <c:f>'Capital &amp; Operating Costs'!$A$162</c:f>
              <c:strCache>
                <c:ptCount val="1"/>
                <c:pt idx="0">
                  <c:v>3c ii. Fixed Costs - general (non-people)</c:v>
                </c:pt>
              </c:strCache>
            </c:strRef>
          </c:tx>
          <c:spPr>
            <a:solidFill>
              <a:schemeClr val="accent6">
                <a:lumMod val="50000"/>
              </a:schemeClr>
            </a:solidFill>
            <a:ln>
              <a:noFill/>
            </a:ln>
          </c:spPr>
          <c:invertIfNegative val="0"/>
          <c:cat>
            <c:numRef>
              <c:f>'Capital &amp; Operating Costs'!$D$25:$O$25</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'Capital &amp; Operating Costs'!$D$162:$O$162</c:f>
              <c:numCache>
                <c:formatCode>#,##0</c:formatCode>
                <c:ptCount val="12"/>
                <c:pt idx="0">
                  <c:v>139.19999999999999</c:v>
                </c:pt>
                <c:pt idx="1">
                  <c:v>139.19999999999999</c:v>
                </c:pt>
                <c:pt idx="2">
                  <c:v>139.19999999999999</c:v>
                </c:pt>
                <c:pt idx="3">
                  <c:v>139.19999999999999</c:v>
                </c:pt>
                <c:pt idx="4">
                  <c:v>139.19999999999999</c:v>
                </c:pt>
                <c:pt idx="5">
                  <c:v>139.19999999999999</c:v>
                </c:pt>
                <c:pt idx="6">
                  <c:v>139.19999999999999</c:v>
                </c:pt>
                <c:pt idx="7">
                  <c:v>139.19999999999999</c:v>
                </c:pt>
                <c:pt idx="8">
                  <c:v>139.19999999999999</c:v>
                </c:pt>
                <c:pt idx="9">
                  <c:v>139.19999999999999</c:v>
                </c:pt>
                <c:pt idx="10">
                  <c:v>0</c:v>
                </c:pt>
                <c:pt idx="11">
                  <c:v>0</c:v>
                </c:pt>
              </c:numCache>
            </c:numRef>
          </c:val>
          <c:extLst>
            <c:ext xmlns:c16="http://schemas.microsoft.com/office/drawing/2014/chart" uri="{C3380CC4-5D6E-409C-BE32-E72D297353CC}">
              <c16:uniqueId val="{00000006-28F1-414F-B6B0-970B9B1D42C5}"/>
            </c:ext>
          </c:extLst>
        </c:ser>
        <c:ser>
          <c:idx val="1"/>
          <c:order val="2"/>
          <c:tx>
            <c:strRef>
              <c:f>'Capital &amp; Operating Costs'!$A$108</c:f>
              <c:strCache>
                <c:ptCount val="1"/>
                <c:pt idx="0">
                  <c:v>3a i.  Cost of purchasing ABC units ex-factory</c:v>
                </c:pt>
              </c:strCache>
            </c:strRef>
          </c:tx>
          <c:spPr>
            <a:solidFill>
              <a:schemeClr val="accent6">
                <a:lumMod val="20000"/>
                <a:lumOff val="80000"/>
              </a:schemeClr>
            </a:solidFill>
            <a:ln>
              <a:solidFill>
                <a:schemeClr val="accent6">
                  <a:lumMod val="60000"/>
                  <a:lumOff val="40000"/>
                </a:schemeClr>
              </a:solidFill>
            </a:ln>
          </c:spPr>
          <c:invertIfNegative val="0"/>
          <c:cat>
            <c:numRef>
              <c:f>'Capital &amp; Operating Costs'!$D$25:$O$25</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'Capital &amp; Operating Costs'!$D$108:$O$108</c:f>
              <c:numCache>
                <c:formatCode>#,##0</c:formatCode>
                <c:ptCount val="12"/>
                <c:pt idx="0">
                  <c:v>1049.7260273972602</c:v>
                </c:pt>
                <c:pt idx="1">
                  <c:v>1012.1117808219178</c:v>
                </c:pt>
                <c:pt idx="2">
                  <c:v>1094.1350421917809</c:v>
                </c:pt>
                <c:pt idx="3">
                  <c:v>1271.2387671967124</c:v>
                </c:pt>
                <c:pt idx="4">
                  <c:v>1521.2818835894557</c:v>
                </c:pt>
                <c:pt idx="5">
                  <c:v>1823.4391790972199</c:v>
                </c:pt>
                <c:pt idx="6">
                  <c:v>1976.8874870560949</c:v>
                </c:pt>
                <c:pt idx="7">
                  <c:v>1983.6266147866311</c:v>
                </c:pt>
                <c:pt idx="8">
                  <c:v>2002.2727049656251</c:v>
                </c:pt>
                <c:pt idx="9">
                  <c:v>1855.3734720984926</c:v>
                </c:pt>
                <c:pt idx="10">
                  <c:v>0</c:v>
                </c:pt>
                <c:pt idx="11">
                  <c:v>0</c:v>
                </c:pt>
              </c:numCache>
            </c:numRef>
          </c:val>
          <c:extLst>
            <c:ext xmlns:c16="http://schemas.microsoft.com/office/drawing/2014/chart" uri="{C3380CC4-5D6E-409C-BE32-E72D297353CC}">
              <c16:uniqueId val="{00000001-28F1-414F-B6B0-970B9B1D42C5}"/>
            </c:ext>
          </c:extLst>
        </c:ser>
        <c:ser>
          <c:idx val="0"/>
          <c:order val="3"/>
          <c:tx>
            <c:strRef>
              <c:f>'Capital &amp; Operating Costs'!$A$114</c:f>
              <c:strCache>
                <c:ptCount val="1"/>
                <c:pt idx="0">
                  <c:v>Debtors at end of year - in-country sales</c:v>
                </c:pt>
              </c:strCache>
            </c:strRef>
          </c:tx>
          <c:spPr>
            <a:solidFill>
              <a:schemeClr val="accent6">
                <a:lumMod val="75000"/>
              </a:schemeClr>
            </a:solidFill>
          </c:spPr>
          <c:invertIfNegative val="0"/>
          <c:cat>
            <c:numRef>
              <c:f>'Capital &amp; Operating Costs'!$D$25:$O$25</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'Capital &amp; Operating Costs'!$D$114:$O$114</c:f>
              <c:numCache>
                <c:formatCode>#,##0</c:formatCode>
                <c:ptCount val="12"/>
                <c:pt idx="0">
                  <c:v>194.79452054794521</c:v>
                </c:pt>
                <c:pt idx="1">
                  <c:v>190.95719178082192</c:v>
                </c:pt>
                <c:pt idx="2">
                  <c:v>210.70017123287678</c:v>
                </c:pt>
                <c:pt idx="3">
                  <c:v>251.45660958904116</c:v>
                </c:pt>
                <c:pt idx="4">
                  <c:v>312.23006506849327</c:v>
                </c:pt>
                <c:pt idx="5">
                  <c:v>387.88101678082199</c:v>
                </c:pt>
                <c:pt idx="6">
                  <c:v>432.52684166095895</c:v>
                </c:pt>
                <c:pt idx="7">
                  <c:v>442.58875549982889</c:v>
                </c:pt>
                <c:pt idx="8">
                  <c:v>455.86641816482364</c:v>
                </c:pt>
                <c:pt idx="9">
                  <c:v>431.04205117432508</c:v>
                </c:pt>
                <c:pt idx="10">
                  <c:v>0</c:v>
                </c:pt>
                <c:pt idx="11">
                  <c:v>0</c:v>
                </c:pt>
              </c:numCache>
            </c:numRef>
          </c:val>
          <c:extLst>
            <c:ext xmlns:c16="http://schemas.microsoft.com/office/drawing/2014/chart" uri="{C3380CC4-5D6E-409C-BE32-E72D297353CC}">
              <c16:uniqueId val="{00000002-28F1-414F-B6B0-970B9B1D42C5}"/>
            </c:ext>
          </c:extLst>
        </c:ser>
        <c:ser>
          <c:idx val="3"/>
          <c:order val="4"/>
          <c:tx>
            <c:strRef>
              <c:f>'Capital &amp; Operating Costs'!$A$120</c:f>
              <c:strCache>
                <c:ptCount val="1"/>
                <c:pt idx="0">
                  <c:v>3b iii. Freight &amp; Handling of ABC units to customers from ABC Depot</c:v>
                </c:pt>
              </c:strCache>
            </c:strRef>
          </c:tx>
          <c:spPr>
            <a:solidFill>
              <a:schemeClr val="accent6">
                <a:lumMod val="60000"/>
                <a:lumOff val="40000"/>
              </a:schemeClr>
            </a:solidFill>
            <a:ln>
              <a:solidFill>
                <a:schemeClr val="accent6">
                  <a:lumMod val="60000"/>
                  <a:lumOff val="40000"/>
                </a:schemeClr>
              </a:solidFill>
            </a:ln>
          </c:spPr>
          <c:invertIfNegative val="0"/>
          <c:cat>
            <c:numRef>
              <c:f>'Capital &amp; Operating Costs'!$D$25:$O$25</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'Capital &amp; Operating Costs'!$D$120:$O$120</c:f>
              <c:numCache>
                <c:formatCode>#,##0</c:formatCode>
                <c:ptCount val="12"/>
                <c:pt idx="0">
                  <c:v>186</c:v>
                </c:pt>
                <c:pt idx="1">
                  <c:v>196.46250000000003</c:v>
                </c:pt>
                <c:pt idx="2">
                  <c:v>216.10875000000004</c:v>
                </c:pt>
                <c:pt idx="3">
                  <c:v>256.51725000000005</c:v>
                </c:pt>
                <c:pt idx="4">
                  <c:v>317.61592500000012</c:v>
                </c:pt>
                <c:pt idx="5">
                  <c:v>394.49181750000008</c:v>
                </c:pt>
                <c:pt idx="6">
                  <c:v>442.96066237500008</c:v>
                </c:pt>
                <c:pt idx="7">
                  <c:v>456.24948224625007</c:v>
                </c:pt>
                <c:pt idx="8">
                  <c:v>469.93696671363762</c:v>
                </c:pt>
                <c:pt idx="9">
                  <c:v>484.03507571504673</c:v>
                </c:pt>
                <c:pt idx="10">
                  <c:v>0</c:v>
                </c:pt>
                <c:pt idx="11">
                  <c:v>0</c:v>
                </c:pt>
              </c:numCache>
            </c:numRef>
          </c:val>
          <c:extLst>
            <c:ext xmlns:c16="http://schemas.microsoft.com/office/drawing/2014/chart" uri="{C3380CC4-5D6E-409C-BE32-E72D297353CC}">
              <c16:uniqueId val="{00000003-28F1-414F-B6B0-970B9B1D42C5}"/>
            </c:ext>
          </c:extLst>
        </c:ser>
        <c:ser>
          <c:idx val="7"/>
          <c:order val="5"/>
          <c:tx>
            <c:strRef>
              <c:f>'Capital &amp; Operating Costs'!$A$35</c:f>
              <c:strCache>
                <c:ptCount val="1"/>
                <c:pt idx="0">
                  <c:v>Cashstream 2: Capital Costs (for plant and equipment)</c:v>
                </c:pt>
              </c:strCache>
            </c:strRef>
          </c:tx>
          <c:spPr>
            <a:solidFill>
              <a:srgbClr val="00B0F0"/>
            </a:solidFill>
          </c:spPr>
          <c:invertIfNegative val="0"/>
          <c:cat>
            <c:numRef>
              <c:f>'Capital &amp; Operating Costs'!$D$25:$O$25</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'Capital &amp; Operating Costs'!$D$35:$O$35</c:f>
              <c:numCache>
                <c:formatCode>#,##0</c:formatCode>
                <c:ptCount val="12"/>
                <c:pt idx="0">
                  <c:v>315</c:v>
                </c:pt>
                <c:pt idx="1">
                  <c:v>275</c:v>
                </c:pt>
                <c:pt idx="2">
                  <c:v>175</c:v>
                </c:pt>
                <c:pt idx="3">
                  <c:v>55</c:v>
                </c:pt>
                <c:pt idx="4">
                  <c:v>55</c:v>
                </c:pt>
                <c:pt idx="5">
                  <c:v>55</c:v>
                </c:pt>
                <c:pt idx="6">
                  <c:v>55</c:v>
                </c:pt>
                <c:pt idx="7">
                  <c:v>55</c:v>
                </c:pt>
                <c:pt idx="8">
                  <c:v>55</c:v>
                </c:pt>
                <c:pt idx="9">
                  <c:v>55</c:v>
                </c:pt>
                <c:pt idx="10">
                  <c:v>0</c:v>
                </c:pt>
                <c:pt idx="11">
                  <c:v>0</c:v>
                </c:pt>
              </c:numCache>
            </c:numRef>
          </c:val>
          <c:extLst>
            <c:ext xmlns:c16="http://schemas.microsoft.com/office/drawing/2014/chart" uri="{C3380CC4-5D6E-409C-BE32-E72D297353CC}">
              <c16:uniqueId val="{00000001-40F6-4E88-B968-BB5132B9956F}"/>
            </c:ext>
          </c:extLst>
        </c:ser>
        <c:dLbls>
          <c:showLegendKey val="0"/>
          <c:showVal val="0"/>
          <c:showCatName val="0"/>
          <c:showSerName val="0"/>
          <c:showPercent val="0"/>
          <c:showBubbleSize val="0"/>
        </c:dLbls>
        <c:gapWidth val="4"/>
        <c:overlap val="100"/>
        <c:axId val="-2073867136"/>
        <c:axId val="2124135312"/>
      </c:barChart>
      <c:lineChart>
        <c:grouping val="standard"/>
        <c:varyColors val="0"/>
        <c:ser>
          <c:idx val="4"/>
          <c:order val="6"/>
          <c:tx>
            <c:strRef>
              <c:f>'Capital &amp; Operating Costs'!$A$208</c:f>
              <c:strCache>
                <c:ptCount val="1"/>
                <c:pt idx="0">
                  <c:v>Revenue from ABC units</c:v>
                </c:pt>
              </c:strCache>
            </c:strRef>
          </c:tx>
          <c:spPr>
            <a:ln w="50800">
              <a:solidFill>
                <a:srgbClr val="00B050"/>
              </a:solidFill>
              <a:prstDash val="sysDash"/>
            </a:ln>
          </c:spPr>
          <c:marker>
            <c:symbol val="none"/>
          </c:marker>
          <c:val>
            <c:numRef>
              <c:f>'Capital &amp; Operating Costs'!$D$208:$O$208</c:f>
              <c:numCache>
                <c:formatCode>#,##0</c:formatCode>
                <c:ptCount val="12"/>
                <c:pt idx="0">
                  <c:v>1770</c:v>
                </c:pt>
                <c:pt idx="1">
                  <c:v>1835.54</c:v>
                </c:pt>
                <c:pt idx="2">
                  <c:v>1978.7121200000001</c:v>
                </c:pt>
                <c:pt idx="3">
                  <c:v>2293.9390258400003</c:v>
                </c:pt>
                <c:pt idx="4">
                  <c:v>2759.2283782817608</c:v>
                </c:pt>
                <c:pt idx="5">
                  <c:v>3330.2531115073416</c:v>
                </c:pt>
                <c:pt idx="6">
                  <c:v>3648.1741866301709</c:v>
                </c:pt>
                <c:pt idx="7">
                  <c:v>3682.4670239844936</c:v>
                </c:pt>
                <c:pt idx="8">
                  <c:v>3717.0822140099485</c:v>
                </c:pt>
                <c:pt idx="9">
                  <c:v>3752.0227868216416</c:v>
                </c:pt>
                <c:pt idx="10">
                  <c:v>0</c:v>
                </c:pt>
                <c:pt idx="11">
                  <c:v>0</c:v>
                </c:pt>
              </c:numCache>
            </c:numRef>
          </c:val>
          <c:smooth val="0"/>
          <c:extLst>
            <c:ext xmlns:c16="http://schemas.microsoft.com/office/drawing/2014/chart" uri="{C3380CC4-5D6E-409C-BE32-E72D297353CC}">
              <c16:uniqueId val="{00000000-1F04-437B-9C9A-BBA11BBBAE11}"/>
            </c:ext>
          </c:extLst>
        </c:ser>
        <c:dLbls>
          <c:showLegendKey val="0"/>
          <c:showVal val="0"/>
          <c:showCatName val="0"/>
          <c:showSerName val="0"/>
          <c:showPercent val="0"/>
          <c:showBubbleSize val="0"/>
        </c:dLbls>
        <c:marker val="1"/>
        <c:smooth val="0"/>
        <c:axId val="-2073867136"/>
        <c:axId val="2124135312"/>
      </c:lineChart>
      <c:catAx>
        <c:axId val="-2073867136"/>
        <c:scaling>
          <c:orientation val="minMax"/>
        </c:scaling>
        <c:delete val="0"/>
        <c:axPos val="b"/>
        <c:numFmt formatCode="0" sourceLinked="1"/>
        <c:majorTickMark val="out"/>
        <c:minorTickMark val="none"/>
        <c:tickLblPos val="nextTo"/>
        <c:txPr>
          <a:bodyPr/>
          <a:lstStyle/>
          <a:p>
            <a:pPr>
              <a:defRPr sz="1400" b="0"/>
            </a:pPr>
            <a:endParaRPr lang="en-US"/>
          </a:p>
        </c:txPr>
        <c:crossAx val="2124135312"/>
        <c:crosses val="autoZero"/>
        <c:auto val="1"/>
        <c:lblAlgn val="ctr"/>
        <c:lblOffset val="100"/>
        <c:noMultiLvlLbl val="0"/>
      </c:catAx>
      <c:valAx>
        <c:axId val="2124135312"/>
        <c:scaling>
          <c:orientation val="minMax"/>
        </c:scaling>
        <c:delete val="0"/>
        <c:axPos val="l"/>
        <c:majorGridlines/>
        <c:title>
          <c:tx>
            <c:rich>
              <a:bodyPr rot="-5400000" vert="horz"/>
              <a:lstStyle/>
              <a:p>
                <a:pPr>
                  <a:defRPr sz="1800" b="1"/>
                </a:pPr>
                <a:r>
                  <a:rPr lang="en-US" sz="1800" b="1"/>
                  <a:t>US$ 000 Real</a:t>
                </a:r>
              </a:p>
            </c:rich>
          </c:tx>
          <c:layout>
            <c:manualLayout>
              <c:xMode val="edge"/>
              <c:yMode val="edge"/>
              <c:x val="5.3954270418509571E-3"/>
              <c:y val="0.3803555575757952"/>
            </c:manualLayout>
          </c:layout>
          <c:overlay val="0"/>
        </c:title>
        <c:numFmt formatCode="#,##0" sourceLinked="1"/>
        <c:majorTickMark val="out"/>
        <c:minorTickMark val="none"/>
        <c:tickLblPos val="nextTo"/>
        <c:txPr>
          <a:bodyPr/>
          <a:lstStyle/>
          <a:p>
            <a:pPr algn="ctr">
              <a:defRPr lang="en-AU" sz="1600" b="1" i="0" u="none" strike="noStrike" kern="1200" baseline="0">
                <a:solidFill>
                  <a:schemeClr val="tx1"/>
                </a:solidFill>
                <a:latin typeface="+mn-lt"/>
                <a:ea typeface="+mn-ea"/>
                <a:cs typeface="+mn-cs"/>
              </a:defRPr>
            </a:pPr>
            <a:endParaRPr lang="en-US"/>
          </a:p>
        </c:txPr>
        <c:crossAx val="-2073867136"/>
        <c:crosses val="autoZero"/>
        <c:crossBetween val="between"/>
      </c:valAx>
    </c:plotArea>
    <c:legend>
      <c:legendPos val="r"/>
      <c:layout>
        <c:manualLayout>
          <c:xMode val="edge"/>
          <c:yMode val="edge"/>
          <c:x val="0.62767576399306702"/>
          <c:y val="1.9418269437631801E-2"/>
          <c:w val="0.35508893381984208"/>
          <c:h val="0.93306601890439189"/>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Taxes</a:t>
            </a:r>
          </a:p>
        </c:rich>
      </c:tx>
      <c:layout>
        <c:manualLayout>
          <c:xMode val="edge"/>
          <c:yMode val="edge"/>
          <c:x val="0.22866915526345988"/>
          <c:y val="0.12446043382508221"/>
        </c:manualLayout>
      </c:layout>
      <c:overlay val="1"/>
    </c:title>
    <c:autoTitleDeleted val="0"/>
    <c:plotArea>
      <c:layout>
        <c:manualLayout>
          <c:layoutTarget val="inner"/>
          <c:xMode val="edge"/>
          <c:yMode val="edge"/>
          <c:x val="7.9313946429311305E-2"/>
          <c:y val="7.0496187976502894E-2"/>
          <c:w val="0.5508484157393847"/>
          <c:h val="0.85012489818083081"/>
        </c:manualLayout>
      </c:layout>
      <c:barChart>
        <c:barDir val="col"/>
        <c:grouping val="stacked"/>
        <c:varyColors val="0"/>
        <c:ser>
          <c:idx val="0"/>
          <c:order val="0"/>
          <c:tx>
            <c:strRef>
              <c:f>Taxes!$A$48</c:f>
              <c:strCache>
                <c:ptCount val="1"/>
                <c:pt idx="0">
                  <c:v>4b.  VAT - net paid/(net refunded)</c:v>
                </c:pt>
              </c:strCache>
            </c:strRef>
          </c:tx>
          <c:spPr>
            <a:solidFill>
              <a:srgbClr val="FF66FF"/>
            </a:solidFill>
          </c:spPr>
          <c:invertIfNegative val="0"/>
          <c:cat>
            <c:numRef>
              <c:f>Taxes!$D$19:$O$19</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Taxes!$D$48:$O$48</c:f>
              <c:numCache>
                <c:formatCode>#,##0_);[Red]\(#,##0\)</c:formatCode>
                <c:ptCount val="12"/>
                <c:pt idx="0">
                  <c:v>-24.312540722291402</c:v>
                </c:pt>
                <c:pt idx="1">
                  <c:v>-11.900806600249069</c:v>
                </c:pt>
                <c:pt idx="2">
                  <c:v>-2.0135675840597855</c:v>
                </c:pt>
                <c:pt idx="3">
                  <c:v>12.891727186749705</c:v>
                </c:pt>
                <c:pt idx="4">
                  <c:v>21.380282238528366</c:v>
                </c:pt>
                <c:pt idx="5">
                  <c:v>31.956699829936326</c:v>
                </c:pt>
                <c:pt idx="6">
                  <c:v>38.443799594374298</c:v>
                </c:pt>
                <c:pt idx="7">
                  <c:v>38.825888313798544</c:v>
                </c:pt>
                <c:pt idx="8">
                  <c:v>37.826247651442031</c:v>
                </c:pt>
                <c:pt idx="9">
                  <c:v>55.332253439434339</c:v>
                </c:pt>
                <c:pt idx="10">
                  <c:v>0</c:v>
                </c:pt>
                <c:pt idx="11">
                  <c:v>0</c:v>
                </c:pt>
              </c:numCache>
            </c:numRef>
          </c:val>
          <c:extLst>
            <c:ext xmlns:c16="http://schemas.microsoft.com/office/drawing/2014/chart" uri="{C3380CC4-5D6E-409C-BE32-E72D297353CC}">
              <c16:uniqueId val="{00000000-1A8B-46B6-89E9-A218F5867D03}"/>
            </c:ext>
          </c:extLst>
        </c:ser>
        <c:ser>
          <c:idx val="2"/>
          <c:order val="1"/>
          <c:tx>
            <c:strRef>
              <c:f>Taxes!$A$31</c:f>
              <c:strCache>
                <c:ptCount val="1"/>
                <c:pt idx="0">
                  <c:v>4a.  Withholding Tax ("WHT")</c:v>
                </c:pt>
              </c:strCache>
            </c:strRef>
          </c:tx>
          <c:spPr>
            <a:solidFill>
              <a:srgbClr val="FFCCFF"/>
            </a:solidFill>
            <a:ln>
              <a:noFill/>
            </a:ln>
          </c:spPr>
          <c:invertIfNegative val="0"/>
          <c:cat>
            <c:numRef>
              <c:f>Taxes!$D$19:$O$19</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Taxes!$D$31:$O$31</c:f>
              <c:numCache>
                <c:formatCode>#,##0.0</c:formatCode>
                <c:ptCount val="12"/>
                <c:pt idx="0">
                  <c:v>5.2</c:v>
                </c:pt>
                <c:pt idx="1">
                  <c:v>5.2</c:v>
                </c:pt>
                <c:pt idx="2">
                  <c:v>5.2</c:v>
                </c:pt>
                <c:pt idx="3">
                  <c:v>5.2</c:v>
                </c:pt>
                <c:pt idx="4">
                  <c:v>5.2</c:v>
                </c:pt>
                <c:pt idx="5">
                  <c:v>5.2</c:v>
                </c:pt>
                <c:pt idx="6">
                  <c:v>5.2</c:v>
                </c:pt>
                <c:pt idx="7">
                  <c:v>5.2</c:v>
                </c:pt>
                <c:pt idx="8">
                  <c:v>5.2</c:v>
                </c:pt>
                <c:pt idx="9">
                  <c:v>5.2</c:v>
                </c:pt>
                <c:pt idx="10">
                  <c:v>0</c:v>
                </c:pt>
                <c:pt idx="11">
                  <c:v>0</c:v>
                </c:pt>
              </c:numCache>
            </c:numRef>
          </c:val>
          <c:extLst>
            <c:ext xmlns:c16="http://schemas.microsoft.com/office/drawing/2014/chart" uri="{C3380CC4-5D6E-409C-BE32-E72D297353CC}">
              <c16:uniqueId val="{00000002-23DB-4A8A-A99D-F4BB4350435E}"/>
            </c:ext>
          </c:extLst>
        </c:ser>
        <c:ser>
          <c:idx val="1"/>
          <c:order val="2"/>
          <c:tx>
            <c:strRef>
              <c:f>Taxes!$A$79</c:f>
              <c:strCache>
                <c:ptCount val="1"/>
                <c:pt idx="0">
                  <c:v>4e  Income Tax or Minimum Tax  (before project funding)</c:v>
                </c:pt>
              </c:strCache>
            </c:strRef>
          </c:tx>
          <c:spPr>
            <a:solidFill>
              <a:srgbClr val="FF0000"/>
            </a:solidFill>
          </c:spPr>
          <c:invertIfNegative val="0"/>
          <c:cat>
            <c:numRef>
              <c:f>Taxes!$D$19:$O$19</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Taxes!$D$79:$O$79</c:f>
              <c:numCache>
                <c:formatCode>#,##0.0;[Red]\-#,##0.0</c:formatCode>
                <c:ptCount val="12"/>
                <c:pt idx="0">
                  <c:v>18.556148194271486</c:v>
                </c:pt>
                <c:pt idx="1">
                  <c:v>31.68131683271065</c:v>
                </c:pt>
                <c:pt idx="2">
                  <c:v>33.596102258986264</c:v>
                </c:pt>
                <c:pt idx="3">
                  <c:v>57.666653697184074</c:v>
                </c:pt>
                <c:pt idx="4">
                  <c:v>104.72434368644917</c:v>
                </c:pt>
                <c:pt idx="5">
                  <c:v>154.84291175483975</c:v>
                </c:pt>
                <c:pt idx="6">
                  <c:v>182.9940293087127</c:v>
                </c:pt>
                <c:pt idx="7">
                  <c:v>188.1122924846245</c:v>
                </c:pt>
                <c:pt idx="8">
                  <c:v>189.44201539650021</c:v>
                </c:pt>
                <c:pt idx="9">
                  <c:v>193.81679003496913</c:v>
                </c:pt>
                <c:pt idx="10">
                  <c:v>0</c:v>
                </c:pt>
                <c:pt idx="11">
                  <c:v>0</c:v>
                </c:pt>
              </c:numCache>
            </c:numRef>
          </c:val>
          <c:extLst>
            <c:ext xmlns:c16="http://schemas.microsoft.com/office/drawing/2014/chart" uri="{C3380CC4-5D6E-409C-BE32-E72D297353CC}">
              <c16:uniqueId val="{00000001-1A8B-46B6-89E9-A218F5867D03}"/>
            </c:ext>
          </c:extLst>
        </c:ser>
        <c:dLbls>
          <c:showLegendKey val="0"/>
          <c:showVal val="0"/>
          <c:showCatName val="0"/>
          <c:showSerName val="0"/>
          <c:showPercent val="0"/>
          <c:showBubbleSize val="0"/>
        </c:dLbls>
        <c:gapWidth val="4"/>
        <c:overlap val="100"/>
        <c:axId val="-2122116928"/>
        <c:axId val="-2121761744"/>
      </c:barChart>
      <c:catAx>
        <c:axId val="-2122116928"/>
        <c:scaling>
          <c:orientation val="minMax"/>
        </c:scaling>
        <c:delete val="0"/>
        <c:axPos val="b"/>
        <c:numFmt formatCode="0" sourceLinked="1"/>
        <c:majorTickMark val="out"/>
        <c:minorTickMark val="none"/>
        <c:tickLblPos val="nextTo"/>
        <c:txPr>
          <a:bodyPr/>
          <a:lstStyle/>
          <a:p>
            <a:pPr>
              <a:defRPr sz="1400" b="0"/>
            </a:pPr>
            <a:endParaRPr lang="en-US"/>
          </a:p>
        </c:txPr>
        <c:crossAx val="-2121761744"/>
        <c:crosses val="autoZero"/>
        <c:auto val="1"/>
        <c:lblAlgn val="ctr"/>
        <c:lblOffset val="100"/>
        <c:noMultiLvlLbl val="0"/>
      </c:catAx>
      <c:valAx>
        <c:axId val="-2121761744"/>
        <c:scaling>
          <c:orientation val="minMax"/>
        </c:scaling>
        <c:delete val="0"/>
        <c:axPos val="l"/>
        <c:majorGridlines/>
        <c:title>
          <c:tx>
            <c:rich>
              <a:bodyPr rot="-5400000" vert="horz"/>
              <a:lstStyle/>
              <a:p>
                <a:pPr>
                  <a:defRPr sz="1800" b="1"/>
                </a:pPr>
                <a:r>
                  <a:rPr lang="en-US" sz="1800" b="1"/>
                  <a:t>US$ 000 Real</a:t>
                </a:r>
              </a:p>
            </c:rich>
          </c:tx>
          <c:layout>
            <c:manualLayout>
              <c:xMode val="edge"/>
              <c:yMode val="edge"/>
              <c:x val="1.52713134761332E-2"/>
              <c:y val="0.126700724909386"/>
            </c:manualLayout>
          </c:layout>
          <c:overlay val="0"/>
        </c:title>
        <c:numFmt formatCode="#,##0_);[Red]\(#,##0\)" sourceLinked="1"/>
        <c:majorTickMark val="out"/>
        <c:minorTickMark val="none"/>
        <c:tickLblPos val="nextTo"/>
        <c:txPr>
          <a:bodyPr/>
          <a:lstStyle/>
          <a:p>
            <a:pPr algn="ctr">
              <a:defRPr lang="en-AU" sz="1600" b="1" i="0" u="none" strike="noStrike" kern="1200" baseline="0">
                <a:solidFill>
                  <a:schemeClr val="tx1"/>
                </a:solidFill>
                <a:latin typeface="+mn-lt"/>
                <a:ea typeface="+mn-ea"/>
                <a:cs typeface="+mn-cs"/>
              </a:defRPr>
            </a:pPr>
            <a:endParaRPr lang="en-US"/>
          </a:p>
        </c:txPr>
        <c:crossAx val="-2122116928"/>
        <c:crosses val="autoZero"/>
        <c:crossBetween val="between"/>
      </c:valAx>
      <c:spPr>
        <a:ln>
          <a:noFill/>
        </a:ln>
      </c:spPr>
    </c:plotArea>
    <c:legend>
      <c:legendPos val="r"/>
      <c:layout>
        <c:manualLayout>
          <c:xMode val="edge"/>
          <c:yMode val="edge"/>
          <c:x val="0.63723431276649789"/>
          <c:y val="0.30507723236723067"/>
          <c:w val="0.35727495284777805"/>
          <c:h val="0.3302710671804322"/>
        </c:manualLayout>
      </c:layout>
      <c:overlay val="0"/>
      <c:txPr>
        <a:bodyPr/>
        <a:lstStyle/>
        <a:p>
          <a:pPr>
            <a:defRPr sz="1400" b="1"/>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Four Cash Streams</a:t>
            </a:r>
          </a:p>
        </c:rich>
      </c:tx>
      <c:layout>
        <c:manualLayout>
          <c:xMode val="edge"/>
          <c:yMode val="edge"/>
          <c:x val="0.33852147791870901"/>
          <c:y val="4.0251572327044002E-2"/>
        </c:manualLayout>
      </c:layout>
      <c:overlay val="1"/>
    </c:title>
    <c:autoTitleDeleted val="0"/>
    <c:plotArea>
      <c:layout>
        <c:manualLayout>
          <c:layoutTarget val="inner"/>
          <c:xMode val="edge"/>
          <c:yMode val="edge"/>
          <c:x val="9.2948054495765306E-2"/>
          <c:y val="0.138723785316611"/>
          <c:w val="0.57178765186568203"/>
          <c:h val="0.78019541066844"/>
        </c:manualLayout>
      </c:layout>
      <c:barChart>
        <c:barDir val="col"/>
        <c:grouping val="stacked"/>
        <c:varyColors val="0"/>
        <c:ser>
          <c:idx val="0"/>
          <c:order val="0"/>
          <c:tx>
            <c:strRef>
              <c:f>'Net Cashflow - before funding'!$A$56</c:f>
              <c:strCache>
                <c:ptCount val="1"/>
                <c:pt idx="0">
                  <c:v>Cashstream 2: Capital Costs (for plant and equipment)</c:v>
                </c:pt>
              </c:strCache>
            </c:strRef>
          </c:tx>
          <c:spPr>
            <a:solidFill>
              <a:srgbClr val="00B0F0"/>
            </a:solidFill>
            <a:ln>
              <a:noFill/>
            </a:ln>
          </c:spPr>
          <c:invertIfNegative val="0"/>
          <c:cat>
            <c:numRef>
              <c:f>'Net Cashflow - before funding'!$D$22:$O$22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'Net Cashflow - before funding'!$D$56:$O$56</c:f>
              <c:numCache>
                <c:formatCode>#,##0_);[Red]\(#,##0\)</c:formatCode>
                <c:ptCount val="12"/>
                <c:pt idx="0">
                  <c:v>-315</c:v>
                </c:pt>
                <c:pt idx="1">
                  <c:v>-275</c:v>
                </c:pt>
                <c:pt idx="2">
                  <c:v>-175</c:v>
                </c:pt>
                <c:pt idx="3">
                  <c:v>-55</c:v>
                </c:pt>
                <c:pt idx="4">
                  <c:v>-55</c:v>
                </c:pt>
                <c:pt idx="5">
                  <c:v>-55</c:v>
                </c:pt>
                <c:pt idx="6">
                  <c:v>-55</c:v>
                </c:pt>
                <c:pt idx="7">
                  <c:v>-55</c:v>
                </c:pt>
                <c:pt idx="8">
                  <c:v>-55</c:v>
                </c:pt>
                <c:pt idx="9">
                  <c:v>-55</c:v>
                </c:pt>
                <c:pt idx="10">
                  <c:v>0</c:v>
                </c:pt>
                <c:pt idx="11">
                  <c:v>0</c:v>
                </c:pt>
              </c:numCache>
            </c:numRef>
          </c:val>
          <c:extLst>
            <c:ext xmlns:c16="http://schemas.microsoft.com/office/drawing/2014/chart" uri="{C3380CC4-5D6E-409C-BE32-E72D297353CC}">
              <c16:uniqueId val="{00000000-3F32-4D36-8554-70FA9A71CDBC}"/>
            </c:ext>
          </c:extLst>
        </c:ser>
        <c:ser>
          <c:idx val="1"/>
          <c:order val="1"/>
          <c:tx>
            <c:strRef>
              <c:f>'Net Cashflow - before funding'!$A$57</c:f>
              <c:strCache>
                <c:ptCount val="1"/>
                <c:pt idx="0">
                  <c:v>Cashstream 3: Operating Costs  (incl creditors)</c:v>
                </c:pt>
              </c:strCache>
            </c:strRef>
          </c:tx>
          <c:spPr>
            <a:solidFill>
              <a:srgbClr val="FFFF00"/>
            </a:solidFill>
            <a:ln>
              <a:noFill/>
            </a:ln>
          </c:spPr>
          <c:invertIfNegative val="0"/>
          <c:cat>
            <c:numRef>
              <c:f>'Net Cashflow - before funding'!$D$22:$O$22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'Net Cashflow - before funding'!$D$57:$O$57</c:f>
              <c:numCache>
                <c:formatCode>#,##0_);[Red]\(#,##0\)</c:formatCode>
                <c:ptCount val="12"/>
                <c:pt idx="0">
                  <c:v>-1730.8677056483393</c:v>
                </c:pt>
                <c:pt idx="1">
                  <c:v>-1693.9959198911617</c:v>
                </c:pt>
                <c:pt idx="2">
                  <c:v>-1814.8137614392947</c:v>
                </c:pt>
                <c:pt idx="3">
                  <c:v>-2074.8339722629239</c:v>
                </c:pt>
                <c:pt idx="4">
                  <c:v>-2438.4768972027</c:v>
                </c:pt>
                <c:pt idx="5">
                  <c:v>-2886.3581142229659</c:v>
                </c:pt>
                <c:pt idx="6">
                  <c:v>-3150.0269408689842</c:v>
                </c:pt>
                <c:pt idx="7">
                  <c:v>-3197.9091132362173</c:v>
                </c:pt>
                <c:pt idx="8">
                  <c:v>-3242.2446210239732</c:v>
                </c:pt>
                <c:pt idx="9">
                  <c:v>-2951.3235187842661</c:v>
                </c:pt>
                <c:pt idx="10">
                  <c:v>-253.83846567023539</c:v>
                </c:pt>
                <c:pt idx="11">
                  <c:v>0</c:v>
                </c:pt>
              </c:numCache>
            </c:numRef>
          </c:val>
          <c:extLst>
            <c:ext xmlns:c16="http://schemas.microsoft.com/office/drawing/2014/chart" uri="{C3380CC4-5D6E-409C-BE32-E72D297353CC}">
              <c16:uniqueId val="{00000001-3F32-4D36-8554-70FA9A71CDBC}"/>
            </c:ext>
          </c:extLst>
        </c:ser>
        <c:ser>
          <c:idx val="2"/>
          <c:order val="2"/>
          <c:tx>
            <c:strRef>
              <c:f>'Net Cashflow - before funding'!$A$58</c:f>
              <c:strCache>
                <c:ptCount val="1"/>
                <c:pt idx="0">
                  <c:v>Cashstream 4: Taxes</c:v>
                </c:pt>
              </c:strCache>
            </c:strRef>
          </c:tx>
          <c:spPr>
            <a:solidFill>
              <a:srgbClr val="FF0000"/>
            </a:solidFill>
            <a:ln>
              <a:noFill/>
            </a:ln>
          </c:spPr>
          <c:invertIfNegative val="0"/>
          <c:cat>
            <c:numRef>
              <c:f>'Net Cashflow - before funding'!$D$22:$O$22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'Net Cashflow - before funding'!$D$58:$O$58</c:f>
              <c:numCache>
                <c:formatCode>#,##0_);[Red]\(#,##0\)</c:formatCode>
                <c:ptCount val="12"/>
                <c:pt idx="0">
                  <c:v>0.55639252801991645</c:v>
                </c:pt>
                <c:pt idx="1">
                  <c:v>-24.98051023246158</c:v>
                </c:pt>
                <c:pt idx="2">
                  <c:v>-36.782534674926481</c:v>
                </c:pt>
                <c:pt idx="3">
                  <c:v>-75.758380883933782</c:v>
                </c:pt>
                <c:pt idx="4">
                  <c:v>-131.30462592497753</c:v>
                </c:pt>
                <c:pt idx="5">
                  <c:v>-191.99961158477606</c:v>
                </c:pt>
                <c:pt idx="6">
                  <c:v>-226.63782890308698</c:v>
                </c:pt>
                <c:pt idx="7">
                  <c:v>-232.13818079842304</c:v>
                </c:pt>
                <c:pt idx="8">
                  <c:v>-232.46826304794223</c:v>
                </c:pt>
                <c:pt idx="9">
                  <c:v>-254.34904347440346</c:v>
                </c:pt>
                <c:pt idx="10">
                  <c:v>0</c:v>
                </c:pt>
                <c:pt idx="11">
                  <c:v>0</c:v>
                </c:pt>
              </c:numCache>
            </c:numRef>
          </c:val>
          <c:extLst>
            <c:ext xmlns:c16="http://schemas.microsoft.com/office/drawing/2014/chart" uri="{C3380CC4-5D6E-409C-BE32-E72D297353CC}">
              <c16:uniqueId val="{00000002-3F32-4D36-8554-70FA9A71CDBC}"/>
            </c:ext>
          </c:extLst>
        </c:ser>
        <c:ser>
          <c:idx val="3"/>
          <c:order val="3"/>
          <c:tx>
            <c:strRef>
              <c:f>'Net Cashflow - before funding'!$A$59</c:f>
              <c:strCache>
                <c:ptCount val="1"/>
                <c:pt idx="0">
                  <c:v>Cashflow if positive</c:v>
                </c:pt>
              </c:strCache>
            </c:strRef>
          </c:tx>
          <c:spPr>
            <a:solidFill>
              <a:srgbClr val="66FF33"/>
            </a:solidFill>
          </c:spPr>
          <c:invertIfNegative val="0"/>
          <c:cat>
            <c:numRef>
              <c:f>'Net Cashflow - before funding'!$D$22:$O$22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'Net Cashflow - before funding'!$D$59:$O$59</c:f>
              <c:numCache>
                <c:formatCode>#,##0_);[Red]\(#,##0\)</c:formatCode>
                <c:ptCount val="12"/>
                <c:pt idx="0">
                  <c:v>0</c:v>
                </c:pt>
                <c:pt idx="1">
                  <c:v>0</c:v>
                </c:pt>
                <c:pt idx="2">
                  <c:v>45.467297365231161</c:v>
                </c:pt>
                <c:pt idx="3">
                  <c:v>205.49251740064983</c:v>
                </c:pt>
                <c:pt idx="4">
                  <c:v>311.86521629330309</c:v>
                </c:pt>
                <c:pt idx="5">
                  <c:v>455.60201749368707</c:v>
                </c:pt>
                <c:pt idx="6">
                  <c:v>546.44580925612854</c:v>
                </c:pt>
                <c:pt idx="7">
                  <c:v>563.50871084560549</c:v>
                </c:pt>
                <c:pt idx="8">
                  <c:v>564.4680762998164</c:v>
                </c:pt>
                <c:pt idx="9">
                  <c:v>879.7892840575355</c:v>
                </c:pt>
                <c:pt idx="10">
                  <c:v>88.394366896759664</c:v>
                </c:pt>
                <c:pt idx="11">
                  <c:v>0</c:v>
                </c:pt>
              </c:numCache>
            </c:numRef>
          </c:val>
          <c:extLst>
            <c:ext xmlns:c16="http://schemas.microsoft.com/office/drawing/2014/chart" uri="{C3380CC4-5D6E-409C-BE32-E72D297353CC}">
              <c16:uniqueId val="{00000003-3F32-4D36-8554-70FA9A71CDBC}"/>
            </c:ext>
          </c:extLst>
        </c:ser>
        <c:ser>
          <c:idx val="4"/>
          <c:order val="4"/>
          <c:tx>
            <c:strRef>
              <c:f>'Net Cashflow - before funding'!$A$60</c:f>
              <c:strCache>
                <c:ptCount val="1"/>
                <c:pt idx="0">
                  <c:v>Cashflow Deficit</c:v>
                </c:pt>
              </c:strCache>
            </c:strRef>
          </c:tx>
          <c:spPr>
            <a:noFill/>
            <a:ln w="38100">
              <a:solidFill>
                <a:srgbClr val="FF66CC"/>
              </a:solidFill>
              <a:prstDash val="sysDash"/>
            </a:ln>
          </c:spPr>
          <c:invertIfNegative val="0"/>
          <c:cat>
            <c:numRef>
              <c:f>'Net Cashflow - before funding'!$D$22:$O$22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'Net Cashflow - before funding'!$D$60:$O$60</c:f>
              <c:numCache>
                <c:formatCode>#,##0_);[Red]\(#,##0\)</c:formatCode>
                <c:ptCount val="12"/>
                <c:pt idx="0">
                  <c:v>303.31131312031948</c:v>
                </c:pt>
                <c:pt idx="1">
                  <c:v>75.546389027732857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F32-4D36-8554-70FA9A71CDBC}"/>
            </c:ext>
          </c:extLst>
        </c:ser>
        <c:dLbls>
          <c:showLegendKey val="0"/>
          <c:showVal val="0"/>
          <c:showCatName val="0"/>
          <c:showSerName val="0"/>
          <c:showPercent val="0"/>
          <c:showBubbleSize val="0"/>
        </c:dLbls>
        <c:gapWidth val="4"/>
        <c:overlap val="100"/>
        <c:axId val="-2073971184"/>
        <c:axId val="2110832256"/>
      </c:barChart>
      <c:catAx>
        <c:axId val="-2073971184"/>
        <c:scaling>
          <c:orientation val="minMax"/>
        </c:scaling>
        <c:delete val="0"/>
        <c:axPos val="b"/>
        <c:numFmt formatCode="0" sourceLinked="1"/>
        <c:majorTickMark val="out"/>
        <c:minorTickMark val="none"/>
        <c:tickLblPos val="nextTo"/>
        <c:txPr>
          <a:bodyPr/>
          <a:lstStyle/>
          <a:p>
            <a:pPr>
              <a:defRPr sz="1400"/>
            </a:pPr>
            <a:endParaRPr lang="en-US"/>
          </a:p>
        </c:txPr>
        <c:crossAx val="2110832256"/>
        <c:crosses val="autoZero"/>
        <c:auto val="1"/>
        <c:lblAlgn val="ctr"/>
        <c:lblOffset val="100"/>
        <c:noMultiLvlLbl val="0"/>
      </c:catAx>
      <c:valAx>
        <c:axId val="2110832256"/>
        <c:scaling>
          <c:orientation val="minMax"/>
        </c:scaling>
        <c:delete val="0"/>
        <c:axPos val="l"/>
        <c:majorGridlines/>
        <c:title>
          <c:tx>
            <c:rich>
              <a:bodyPr rot="-5400000" vert="horz"/>
              <a:lstStyle/>
              <a:p>
                <a:pPr>
                  <a:defRPr sz="1800" b="1"/>
                </a:pPr>
                <a:r>
                  <a:rPr lang="en-US" sz="1800" b="1"/>
                  <a:t>US$ 000 Real</a:t>
                </a:r>
              </a:p>
            </c:rich>
          </c:tx>
          <c:layout>
            <c:manualLayout>
              <c:xMode val="edge"/>
              <c:yMode val="edge"/>
              <c:x val="1.0323822279946999E-2"/>
              <c:y val="0.29426808438146801"/>
            </c:manualLayout>
          </c:layout>
          <c:overlay val="0"/>
        </c:title>
        <c:numFmt formatCode="#,##0" sourceLinked="0"/>
        <c:majorTickMark val="out"/>
        <c:minorTickMark val="none"/>
        <c:tickLblPos val="nextTo"/>
        <c:txPr>
          <a:bodyPr/>
          <a:lstStyle/>
          <a:p>
            <a:pPr>
              <a:defRPr sz="1400" b="1" baseline="0"/>
            </a:pPr>
            <a:endParaRPr lang="en-US"/>
          </a:p>
        </c:txPr>
        <c:crossAx val="-2073971184"/>
        <c:crosses val="autoZero"/>
        <c:crossBetween val="between"/>
      </c:valAx>
    </c:plotArea>
    <c:legend>
      <c:legendPos val="r"/>
      <c:layout>
        <c:manualLayout>
          <c:xMode val="edge"/>
          <c:yMode val="edge"/>
          <c:x val="0.65126806011596705"/>
          <c:y val="0.138914643136581"/>
          <c:w val="0.343182582946363"/>
          <c:h val="0.76812131682850404"/>
        </c:manualLayout>
      </c:layout>
      <c:overlay val="0"/>
      <c:spPr>
        <a:solidFill>
          <a:schemeClr val="bg1"/>
        </a:solidFill>
      </c:spPr>
      <c:txPr>
        <a:bodyPr/>
        <a:lstStyle/>
        <a:p>
          <a:pPr>
            <a:defRPr sz="1400" b="1"/>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NPV &amp; Payback </a:t>
            </a:r>
          </a:p>
        </c:rich>
      </c:tx>
      <c:overlay val="0"/>
    </c:title>
    <c:autoTitleDeleted val="0"/>
    <c:plotArea>
      <c:layout>
        <c:manualLayout>
          <c:layoutTarget val="inner"/>
          <c:xMode val="edge"/>
          <c:yMode val="edge"/>
          <c:x val="0.121116632339448"/>
          <c:y val="4.6770446797598599E-2"/>
          <c:w val="0.841656859943955"/>
          <c:h val="0.75925810997763199"/>
        </c:manualLayout>
      </c:layout>
      <c:barChart>
        <c:barDir val="col"/>
        <c:grouping val="stacked"/>
        <c:varyColors val="0"/>
        <c:ser>
          <c:idx val="0"/>
          <c:order val="0"/>
          <c:tx>
            <c:strRef>
              <c:f>'Net Cashflow - before funding'!$A$51</c:f>
              <c:strCache>
                <c:ptCount val="1"/>
                <c:pt idx="0">
                  <c:v>Discounted cash flow</c:v>
                </c:pt>
              </c:strCache>
            </c:strRef>
          </c:tx>
          <c:spPr>
            <a:solidFill>
              <a:srgbClr val="66FF33"/>
            </a:solidFill>
            <a:ln>
              <a:solidFill>
                <a:srgbClr val="00B050"/>
              </a:solidFill>
            </a:ln>
          </c:spPr>
          <c:invertIfNegative val="0"/>
          <c:cat>
            <c:numRef>
              <c:f>'Net Cashflow - before funding'!$D$22:$O$22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'Net Cashflow - before funding'!$D$51:$O$51</c:f>
              <c:numCache>
                <c:formatCode>#,##0_);[Red]\(#,##0\)</c:formatCode>
                <c:ptCount val="12"/>
                <c:pt idx="0">
                  <c:v>-290.51954831158508</c:v>
                </c:pt>
                <c:pt idx="1">
                  <c:v>-66.385612077344319</c:v>
                </c:pt>
                <c:pt idx="2">
                  <c:v>36.654972253501221</c:v>
                </c:pt>
                <c:pt idx="3">
                  <c:v>151.98588956896504</c:v>
                </c:pt>
                <c:pt idx="4">
                  <c:v>211.61560868726912</c:v>
                </c:pt>
                <c:pt idx="5">
                  <c:v>283.62199000314041</c:v>
                </c:pt>
                <c:pt idx="6">
                  <c:v>312.08641402569498</c:v>
                </c:pt>
                <c:pt idx="7">
                  <c:v>295.25815342391115</c:v>
                </c:pt>
                <c:pt idx="8">
                  <c:v>271.34020749759975</c:v>
                </c:pt>
                <c:pt idx="9">
                  <c:v>387.99572230482084</c:v>
                </c:pt>
                <c:pt idx="10">
                  <c:v>35.764022650126321</c:v>
                </c:pt>
                <c:pt idx="11">
                  <c:v>0</c:v>
                </c:pt>
              </c:numCache>
            </c:numRef>
          </c:val>
          <c:extLst>
            <c:ext xmlns:c16="http://schemas.microsoft.com/office/drawing/2014/chart" uri="{C3380CC4-5D6E-409C-BE32-E72D297353CC}">
              <c16:uniqueId val="{00000000-EDBE-40C6-B1DC-58154D1B293B}"/>
            </c:ext>
          </c:extLst>
        </c:ser>
        <c:dLbls>
          <c:showLegendKey val="0"/>
          <c:showVal val="0"/>
          <c:showCatName val="0"/>
          <c:showSerName val="0"/>
          <c:showPercent val="0"/>
          <c:showBubbleSize val="0"/>
        </c:dLbls>
        <c:gapWidth val="5"/>
        <c:overlap val="100"/>
        <c:axId val="-2118552272"/>
        <c:axId val="-2118558384"/>
      </c:barChart>
      <c:lineChart>
        <c:grouping val="standard"/>
        <c:varyColors val="0"/>
        <c:ser>
          <c:idx val="2"/>
          <c:order val="1"/>
          <c:tx>
            <c:strRef>
              <c:f>'Net Cashflow - before funding'!$A$52</c:f>
              <c:strCache>
                <c:ptCount val="1"/>
                <c:pt idx="0">
                  <c:v>Cumulative discounted cash flow</c:v>
                </c:pt>
              </c:strCache>
            </c:strRef>
          </c:tx>
          <c:spPr>
            <a:ln w="44450">
              <a:solidFill>
                <a:srgbClr val="00B050"/>
              </a:solidFill>
            </a:ln>
          </c:spPr>
          <c:marker>
            <c:symbol val="none"/>
          </c:marker>
          <c:cat>
            <c:numRef>
              <c:f>'Net Cashflow - before funding'!$D$22:$O$22</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'Net Cashflow - before funding'!$D$52:$O$52</c:f>
              <c:numCache>
                <c:formatCode>#,##0_);[Red]\(#,##0\)</c:formatCode>
                <c:ptCount val="12"/>
                <c:pt idx="0">
                  <c:v>-290.51954831158508</c:v>
                </c:pt>
                <c:pt idx="1">
                  <c:v>-356.9051603889294</c:v>
                </c:pt>
                <c:pt idx="2">
                  <c:v>-320.25018813542817</c:v>
                </c:pt>
                <c:pt idx="3">
                  <c:v>-168.26429856646314</c:v>
                </c:pt>
                <c:pt idx="4">
                  <c:v>43.351310120805977</c:v>
                </c:pt>
                <c:pt idx="5">
                  <c:v>326.97330012394639</c:v>
                </c:pt>
                <c:pt idx="6">
                  <c:v>639.05971414964142</c:v>
                </c:pt>
                <c:pt idx="7">
                  <c:v>934.31786757355258</c:v>
                </c:pt>
                <c:pt idx="8">
                  <c:v>1205.6580750711523</c:v>
                </c:pt>
                <c:pt idx="9">
                  <c:v>1593.6537973759732</c:v>
                </c:pt>
                <c:pt idx="10">
                  <c:v>1629.4178200260994</c:v>
                </c:pt>
                <c:pt idx="11">
                  <c:v>1629.4178200260994</c:v>
                </c:pt>
              </c:numCache>
            </c:numRef>
          </c:val>
          <c:smooth val="0"/>
          <c:extLst>
            <c:ext xmlns:c16="http://schemas.microsoft.com/office/drawing/2014/chart" uri="{C3380CC4-5D6E-409C-BE32-E72D297353CC}">
              <c16:uniqueId val="{00000001-E885-4768-8520-2F6473D1657F}"/>
            </c:ext>
          </c:extLst>
        </c:ser>
        <c:dLbls>
          <c:showLegendKey val="0"/>
          <c:showVal val="0"/>
          <c:showCatName val="0"/>
          <c:showSerName val="0"/>
          <c:showPercent val="0"/>
          <c:showBubbleSize val="0"/>
        </c:dLbls>
        <c:marker val="1"/>
        <c:smooth val="0"/>
        <c:axId val="-2118552272"/>
        <c:axId val="-2118558384"/>
      </c:lineChart>
      <c:catAx>
        <c:axId val="-2118552272"/>
        <c:scaling>
          <c:orientation val="minMax"/>
        </c:scaling>
        <c:delete val="0"/>
        <c:axPos val="b"/>
        <c:numFmt formatCode="0" sourceLinked="1"/>
        <c:majorTickMark val="out"/>
        <c:minorTickMark val="none"/>
        <c:tickLblPos val="nextTo"/>
        <c:txPr>
          <a:bodyPr/>
          <a:lstStyle/>
          <a:p>
            <a:pPr>
              <a:defRPr sz="1400" b="0"/>
            </a:pPr>
            <a:endParaRPr lang="en-US"/>
          </a:p>
        </c:txPr>
        <c:crossAx val="-2118558384"/>
        <c:crosses val="autoZero"/>
        <c:auto val="1"/>
        <c:lblAlgn val="ctr"/>
        <c:lblOffset val="100"/>
        <c:noMultiLvlLbl val="0"/>
      </c:catAx>
      <c:valAx>
        <c:axId val="-2118558384"/>
        <c:scaling>
          <c:orientation val="minMax"/>
        </c:scaling>
        <c:delete val="0"/>
        <c:axPos val="l"/>
        <c:majorGridlines/>
        <c:title>
          <c:tx>
            <c:rich>
              <a:bodyPr rot="-5400000" vert="horz"/>
              <a:lstStyle/>
              <a:p>
                <a:pPr>
                  <a:defRPr sz="1600"/>
                </a:pPr>
                <a:r>
                  <a:rPr lang="en-US" sz="1600"/>
                  <a:t>US$ 000</a:t>
                </a:r>
              </a:p>
            </c:rich>
          </c:tx>
          <c:layout>
            <c:manualLayout>
              <c:xMode val="edge"/>
              <c:yMode val="edge"/>
              <c:x val="8.05506994765493E-3"/>
              <c:y val="0.404173658620541"/>
            </c:manualLayout>
          </c:layout>
          <c:overlay val="0"/>
        </c:title>
        <c:numFmt formatCode="#,##0" sourceLinked="0"/>
        <c:majorTickMark val="out"/>
        <c:minorTickMark val="none"/>
        <c:tickLblPos val="nextTo"/>
        <c:txPr>
          <a:bodyPr/>
          <a:lstStyle/>
          <a:p>
            <a:pPr>
              <a:defRPr sz="1400"/>
            </a:pPr>
            <a:endParaRPr lang="en-US"/>
          </a:p>
        </c:txPr>
        <c:crossAx val="-2118552272"/>
        <c:crosses val="autoZero"/>
        <c:crossBetween val="between"/>
      </c:valAx>
    </c:plotArea>
    <c:legend>
      <c:legendPos val="b"/>
      <c:layout>
        <c:manualLayout>
          <c:xMode val="edge"/>
          <c:yMode val="edge"/>
          <c:x val="2.7322404371584699E-2"/>
          <c:y val="0.79687191793804202"/>
          <c:w val="0.97267759562841505"/>
          <c:h val="0.19146920303186399"/>
        </c:manualLayout>
      </c:layout>
      <c:overlay val="0"/>
      <c:txPr>
        <a:bodyPr/>
        <a:lstStyle/>
        <a:p>
          <a:pPr>
            <a:defRPr sz="1600" b="1"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Debt &amp; Equity</a:t>
            </a:r>
          </a:p>
        </c:rich>
      </c:tx>
      <c:layout>
        <c:manualLayout>
          <c:xMode val="edge"/>
          <c:yMode val="edge"/>
          <c:x val="0.33852147791870901"/>
          <c:y val="4.0251572327044002E-2"/>
        </c:manualLayout>
      </c:layout>
      <c:overlay val="1"/>
    </c:title>
    <c:autoTitleDeleted val="0"/>
    <c:plotArea>
      <c:layout>
        <c:manualLayout>
          <c:layoutTarget val="inner"/>
          <c:xMode val="edge"/>
          <c:yMode val="edge"/>
          <c:x val="9.2948054495765306E-2"/>
          <c:y val="0.138723785316611"/>
          <c:w val="0.43896913742288723"/>
          <c:h val="0.78019541066844"/>
        </c:manualLayout>
      </c:layout>
      <c:barChart>
        <c:barDir val="col"/>
        <c:grouping val="stacked"/>
        <c:varyColors val="0"/>
        <c:ser>
          <c:idx val="5"/>
          <c:order val="0"/>
          <c:tx>
            <c:strRef>
              <c:f>'Project funding (Nominal)'!$A$37</c:f>
              <c:strCache>
                <c:ptCount val="1"/>
                <c:pt idx="0">
                  <c:v>Net Cash Flow before project funding - Nominal</c:v>
                </c:pt>
              </c:strCache>
            </c:strRef>
          </c:tx>
          <c:spPr>
            <a:solidFill>
              <a:srgbClr val="92D050"/>
            </a:solidFill>
            <a:ln w="60325">
              <a:noFill/>
            </a:ln>
          </c:spPr>
          <c:invertIfNegative val="0"/>
          <c:cat>
            <c:numRef>
              <c:f>'Project funding (Nominal)'!$D$23:$O$23</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'Project funding (Nominal)'!$D$37:$O$37</c:f>
              <c:numCache>
                <c:formatCode>#,##0_);[Red]\(#,##0\)</c:formatCode>
                <c:ptCount val="12"/>
                <c:pt idx="0">
                  <c:v>-306.32941047197534</c:v>
                </c:pt>
                <c:pt idx="1">
                  <c:v>-77.824075164223089</c:v>
                </c:pt>
                <c:pt idx="2">
                  <c:v>47.774876092280401</c:v>
                </c:pt>
                <c:pt idx="3">
                  <c:v>220.24021061560725</c:v>
                </c:pt>
                <c:pt idx="4">
                  <c:v>340.93195715699488</c:v>
                </c:pt>
                <c:pt idx="5">
                  <c:v>508.02675316624055</c:v>
                </c:pt>
                <c:pt idx="6">
                  <c:v>621.51013645756541</c:v>
                </c:pt>
                <c:pt idx="7">
                  <c:v>653.73527847972275</c:v>
                </c:pt>
                <c:pt idx="8">
                  <c:v>667.94521843151495</c:v>
                </c:pt>
                <c:pt idx="9">
                  <c:v>1061.8918794362685</c:v>
                </c:pt>
                <c:pt idx="10">
                  <c:v>108.82442800613779</c:v>
                </c:pt>
                <c:pt idx="11">
                  <c:v>0</c:v>
                </c:pt>
              </c:numCache>
            </c:numRef>
          </c:val>
          <c:extLst>
            <c:ext xmlns:c16="http://schemas.microsoft.com/office/drawing/2014/chart" uri="{C3380CC4-5D6E-409C-BE32-E72D297353CC}">
              <c16:uniqueId val="{00000000-00E8-4BEC-B17C-003297B094EA}"/>
            </c:ext>
          </c:extLst>
        </c:ser>
        <c:ser>
          <c:idx val="0"/>
          <c:order val="1"/>
          <c:tx>
            <c:strRef>
              <c:f>'Project funding (Nominal)'!$A$45</c:f>
              <c:strCache>
                <c:ptCount val="1"/>
                <c:pt idx="0">
                  <c:v>4 a. Donations</c:v>
                </c:pt>
              </c:strCache>
            </c:strRef>
          </c:tx>
          <c:spPr>
            <a:solidFill>
              <a:srgbClr val="FFFF00"/>
            </a:solidFill>
            <a:ln>
              <a:solidFill>
                <a:srgbClr val="FF0000"/>
              </a:solidFill>
              <a:prstDash val="sysDash"/>
            </a:ln>
          </c:spPr>
          <c:invertIfNegative val="0"/>
          <c:cat>
            <c:numRef>
              <c:f>'Project funding (Nominal)'!$D$23:$O$23</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'Project funding (Nominal)'!$D$45:$O$45</c:f>
              <c:numCache>
                <c:formatCode>#,##0</c:formatCode>
                <c:ptCount val="12"/>
                <c:pt idx="0">
                  <c:v>0</c:v>
                </c:pt>
                <c:pt idx="1">
                  <c:v>0</c:v>
                </c:pt>
                <c:pt idx="2">
                  <c:v>100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A8D-4D8C-B16E-7A3250D89E54}"/>
            </c:ext>
          </c:extLst>
        </c:ser>
        <c:dLbls>
          <c:showLegendKey val="0"/>
          <c:showVal val="0"/>
          <c:showCatName val="0"/>
          <c:showSerName val="0"/>
          <c:showPercent val="0"/>
          <c:showBubbleSize val="0"/>
        </c:dLbls>
        <c:gapWidth val="30"/>
        <c:overlap val="100"/>
        <c:axId val="-2143009392"/>
        <c:axId val="-2143017696"/>
      </c:barChart>
      <c:lineChart>
        <c:grouping val="standard"/>
        <c:varyColors val="0"/>
        <c:ser>
          <c:idx val="2"/>
          <c:order val="2"/>
          <c:tx>
            <c:strRef>
              <c:f>'Project funding (Nominal)'!$A$74</c:f>
              <c:strCache>
                <c:ptCount val="1"/>
                <c:pt idx="0">
                  <c:v>closing balance of equity funds invested</c:v>
                </c:pt>
              </c:strCache>
            </c:strRef>
          </c:tx>
          <c:spPr>
            <a:ln w="82550">
              <a:solidFill>
                <a:srgbClr val="FFC000"/>
              </a:solidFill>
            </a:ln>
          </c:spPr>
          <c:marker>
            <c:symbol val="none"/>
          </c:marker>
          <c:cat>
            <c:numRef>
              <c:f>'Project funding (Nominal)'!$D$23:$O$23</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'Project funding (Nominal)'!$D$74:$O$74</c:f>
              <c:numCache>
                <c:formatCode>#,##0_);[Red]\(#,##0\)</c:formatCode>
                <c:ptCount val="12"/>
                <c:pt idx="0">
                  <c:v>159.29129344542716</c:v>
                </c:pt>
                <c:pt idx="1">
                  <c:v>218.13957715914168</c:v>
                </c:pt>
                <c:pt idx="2">
                  <c:v>218.13957715914168</c:v>
                </c:pt>
                <c:pt idx="3">
                  <c:v>218.13957715914168</c:v>
                </c:pt>
                <c:pt idx="4">
                  <c:v>218.13957715914168</c:v>
                </c:pt>
                <c:pt idx="5">
                  <c:v>218.13957715914168</c:v>
                </c:pt>
                <c:pt idx="6">
                  <c:v>218.13957715914168</c:v>
                </c:pt>
                <c:pt idx="7">
                  <c:v>218.13957715914168</c:v>
                </c:pt>
                <c:pt idx="8">
                  <c:v>218.13957715914168</c:v>
                </c:pt>
                <c:pt idx="9">
                  <c:v>218.13957715914168</c:v>
                </c:pt>
                <c:pt idx="10">
                  <c:v>218.13957715914168</c:v>
                </c:pt>
                <c:pt idx="11">
                  <c:v>218.13957715914168</c:v>
                </c:pt>
              </c:numCache>
            </c:numRef>
          </c:val>
          <c:smooth val="0"/>
          <c:extLst>
            <c:ext xmlns:c16="http://schemas.microsoft.com/office/drawing/2014/chart" uri="{C3380CC4-5D6E-409C-BE32-E72D297353CC}">
              <c16:uniqueId val="{00000003-00E8-4BEC-B17C-003297B094EA}"/>
            </c:ext>
          </c:extLst>
        </c:ser>
        <c:ser>
          <c:idx val="1"/>
          <c:order val="3"/>
          <c:tx>
            <c:strRef>
              <c:f>'Project funding (Nominal)'!$A$58</c:f>
              <c:strCache>
                <c:ptCount val="1"/>
                <c:pt idx="0">
                  <c:v>project loan - closing balance</c:v>
                </c:pt>
              </c:strCache>
            </c:strRef>
          </c:tx>
          <c:spPr>
            <a:ln w="60325">
              <a:solidFill>
                <a:srgbClr val="0033CC"/>
              </a:solidFill>
              <a:prstDash val="sysDash"/>
            </a:ln>
          </c:spPr>
          <c:marker>
            <c:symbol val="none"/>
          </c:marker>
          <c:cat>
            <c:numRef>
              <c:f>'Project funding (Nominal)'!$D$23:$O$23</c:f>
              <c:numCache>
                <c:formatCode>0</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'Project funding (Nominal)'!$D$58:$O$58</c:f>
              <c:numCache>
                <c:formatCode>#,##0_);[Red]\(#,##0\)</c:formatCode>
                <c:ptCount val="12"/>
                <c:pt idx="0">
                  <c:v>153.16470523598767</c:v>
                </c:pt>
                <c:pt idx="1">
                  <c:v>192.07674281809921</c:v>
                </c:pt>
                <c:pt idx="2">
                  <c:v>44.301866725818797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0E8-4BEC-B17C-003297B094EA}"/>
            </c:ext>
          </c:extLst>
        </c:ser>
        <c:dLbls>
          <c:showLegendKey val="0"/>
          <c:showVal val="0"/>
          <c:showCatName val="0"/>
          <c:showSerName val="0"/>
          <c:showPercent val="0"/>
          <c:showBubbleSize val="0"/>
        </c:dLbls>
        <c:marker val="1"/>
        <c:smooth val="0"/>
        <c:axId val="-2143009392"/>
        <c:axId val="-2143017696"/>
      </c:lineChart>
      <c:catAx>
        <c:axId val="-2143009392"/>
        <c:scaling>
          <c:orientation val="minMax"/>
        </c:scaling>
        <c:delete val="0"/>
        <c:axPos val="b"/>
        <c:numFmt formatCode="0" sourceLinked="1"/>
        <c:majorTickMark val="out"/>
        <c:minorTickMark val="none"/>
        <c:tickLblPos val="nextTo"/>
        <c:txPr>
          <a:bodyPr/>
          <a:lstStyle/>
          <a:p>
            <a:pPr>
              <a:defRPr sz="1400"/>
            </a:pPr>
            <a:endParaRPr lang="en-US"/>
          </a:p>
        </c:txPr>
        <c:crossAx val="-2143017696"/>
        <c:crosses val="autoZero"/>
        <c:auto val="1"/>
        <c:lblAlgn val="ctr"/>
        <c:lblOffset val="100"/>
        <c:noMultiLvlLbl val="0"/>
      </c:catAx>
      <c:valAx>
        <c:axId val="-2143017696"/>
        <c:scaling>
          <c:orientation val="minMax"/>
        </c:scaling>
        <c:delete val="0"/>
        <c:axPos val="l"/>
        <c:majorGridlines/>
        <c:title>
          <c:tx>
            <c:rich>
              <a:bodyPr rot="-5400000" vert="horz"/>
              <a:lstStyle/>
              <a:p>
                <a:pPr>
                  <a:defRPr sz="1800" b="1"/>
                </a:pPr>
                <a:r>
                  <a:rPr lang="en-US" sz="1800" b="1"/>
                  <a:t>US$ 000 Nominal</a:t>
                </a:r>
              </a:p>
            </c:rich>
          </c:tx>
          <c:layout>
            <c:manualLayout>
              <c:xMode val="edge"/>
              <c:yMode val="edge"/>
              <c:x val="1.0323822279946999E-2"/>
              <c:y val="0.29426808438146801"/>
            </c:manualLayout>
          </c:layout>
          <c:overlay val="0"/>
        </c:title>
        <c:numFmt formatCode="#,##0" sourceLinked="0"/>
        <c:majorTickMark val="out"/>
        <c:minorTickMark val="none"/>
        <c:tickLblPos val="nextTo"/>
        <c:txPr>
          <a:bodyPr/>
          <a:lstStyle/>
          <a:p>
            <a:pPr>
              <a:defRPr sz="1400" b="1" baseline="0"/>
            </a:pPr>
            <a:endParaRPr lang="en-US"/>
          </a:p>
        </c:txPr>
        <c:crossAx val="-2143009392"/>
        <c:crosses val="autoZero"/>
        <c:crossBetween val="between"/>
      </c:valAx>
    </c:plotArea>
    <c:legend>
      <c:legendPos val="r"/>
      <c:layout>
        <c:manualLayout>
          <c:xMode val="edge"/>
          <c:yMode val="edge"/>
          <c:x val="0.56767097904688779"/>
          <c:y val="0.12389092114653"/>
          <c:w val="0.43232902095311226"/>
          <c:h val="0.65641868241855517"/>
        </c:manualLayout>
      </c:layout>
      <c:overlay val="0"/>
      <c:spPr>
        <a:solidFill>
          <a:schemeClr val="bg1"/>
        </a:solidFill>
      </c:spPr>
      <c:txPr>
        <a:bodyPr/>
        <a:lstStyle/>
        <a:p>
          <a:pPr>
            <a:defRPr sz="1600" b="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customXml" Target="../ink/ink1.xml"/><Relationship Id="rId7" Type="http://schemas.openxmlformats.org/officeDocument/2006/relationships/customXml" Target="../ink/ink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ustomXml" Target="../ink/ink4.xml"/><Relationship Id="rId5" Type="http://schemas.openxmlformats.org/officeDocument/2006/relationships/customXml" Target="../ink/ink3.xml"/><Relationship Id="rId4" Type="http://schemas.openxmlformats.org/officeDocument/2006/relationships/customXml" Target="../ink/ink2.xml"/></Relationships>
</file>

<file path=xl/drawings/_rels/drawing2.xml.rels><?xml version="1.0" encoding="UTF-8" standalone="yes"?>
<Relationships xmlns="http://schemas.openxmlformats.org/package/2006/relationships"><Relationship Id="rId3" Type="http://schemas.openxmlformats.org/officeDocument/2006/relationships/customXml" Target="../ink/ink7.xml"/><Relationship Id="rId2" Type="http://schemas.openxmlformats.org/officeDocument/2006/relationships/customXml" Target="../ink/ink6.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ustomXml" Target="../ink/ink9.xml"/><Relationship Id="rId2" Type="http://schemas.openxmlformats.org/officeDocument/2006/relationships/customXml" Target="../ink/ink8.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146957</xdr:colOff>
      <xdr:row>2</xdr:row>
      <xdr:rowOff>65860</xdr:rowOff>
    </xdr:from>
    <xdr:to>
      <xdr:col>9</xdr:col>
      <xdr:colOff>503465</xdr:colOff>
      <xdr:row>15</xdr:row>
      <xdr:rowOff>190500</xdr:rowOff>
    </xdr:to>
    <xdr:graphicFrame macro="">
      <xdr:nvGraphicFramePr>
        <xdr:cNvPr id="8322372" name="Chart 2">
          <a:extLst>
            <a:ext uri="{FF2B5EF4-FFF2-40B4-BE49-F238E27FC236}">
              <a16:creationId xmlns:a16="http://schemas.microsoft.com/office/drawing/2014/main" id="{00000000-0008-0000-0100-000044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42454</xdr:colOff>
      <xdr:row>17</xdr:row>
      <xdr:rowOff>68036</xdr:rowOff>
    </xdr:from>
    <xdr:to>
      <xdr:col>9</xdr:col>
      <xdr:colOff>544285</xdr:colOff>
      <xdr:row>29</xdr:row>
      <xdr:rowOff>31568</xdr:rowOff>
    </xdr:to>
    <xdr:graphicFrame macro="">
      <xdr:nvGraphicFramePr>
        <xdr:cNvPr id="14" name="Chart 2">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800008</xdr:colOff>
      <xdr:row>54</xdr:row>
      <xdr:rowOff>27214</xdr:rowOff>
    </xdr:from>
    <xdr:to>
      <xdr:col>7</xdr:col>
      <xdr:colOff>95250</xdr:colOff>
      <xdr:row>54</xdr:row>
      <xdr:rowOff>317500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451258" y="13457464"/>
          <a:ext cx="4787992" cy="290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200" b="1">
              <a:solidFill>
                <a:srgbClr val="00B050"/>
              </a:solidFill>
            </a:rPr>
            <a:t>Insert the level of sales in 2019 here     and insert growth rates here.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400" b="1" i="0" u="none" strike="noStrike" kern="0" cap="none" spc="0" normalizeH="0" baseline="0" noProof="0">
            <a:ln>
              <a:noFill/>
            </a:ln>
            <a:solidFill>
              <a:srgbClr val="FF0000"/>
            </a:solidFill>
            <a:effectLst/>
            <a:uLnTx/>
            <a:uFillTx/>
            <a:latin typeface="+mn-lt"/>
            <a:ea typeface="+mn-ea"/>
            <a:cs typeface="+mn-cs"/>
          </a:endParaRPr>
        </a:p>
        <a:p>
          <a:endParaRPr lang="en-AU" sz="1200" b="1">
            <a:solidFill>
              <a:srgbClr val="00B050"/>
            </a:solidFill>
          </a:endParaRPr>
        </a:p>
        <a:p>
          <a:endParaRPr lang="en-AU" sz="1200" b="1">
            <a:solidFill>
              <a:srgbClr val="00B050"/>
            </a:solidFill>
          </a:endParaRPr>
        </a:p>
      </xdr:txBody>
    </xdr:sp>
    <xdr:clientData/>
  </xdr:twoCellAnchor>
  <xdr:twoCellAnchor>
    <xdr:from>
      <xdr:col>2</xdr:col>
      <xdr:colOff>320040</xdr:colOff>
      <xdr:row>53</xdr:row>
      <xdr:rowOff>349680</xdr:rowOff>
    </xdr:from>
    <xdr:to>
      <xdr:col>2</xdr:col>
      <xdr:colOff>320400</xdr:colOff>
      <xdr:row>53</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00000000-0008-0000-0100-000004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3</xdr:col>
      <xdr:colOff>158750</xdr:colOff>
      <xdr:row>54</xdr:row>
      <xdr:rowOff>333375</xdr:rowOff>
    </xdr:from>
    <xdr:to>
      <xdr:col>3</xdr:col>
      <xdr:colOff>326572</xdr:colOff>
      <xdr:row>61</xdr:row>
      <xdr:rowOff>81643</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6127750" y="13763625"/>
          <a:ext cx="167822" cy="1510393"/>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777876</xdr:colOff>
      <xdr:row>52</xdr:row>
      <xdr:rowOff>0</xdr:rowOff>
    </xdr:from>
    <xdr:to>
      <xdr:col>5</xdr:col>
      <xdr:colOff>142875</xdr:colOff>
      <xdr:row>52</xdr:row>
      <xdr:rowOff>412750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flipH="1" flipV="1">
          <a:off x="6746876" y="12176125"/>
          <a:ext cx="952499" cy="4127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67489</xdr:colOff>
      <xdr:row>69</xdr:row>
      <xdr:rowOff>44087</xdr:rowOff>
    </xdr:from>
    <xdr:to>
      <xdr:col>12</xdr:col>
      <xdr:colOff>367392</xdr:colOff>
      <xdr:row>69</xdr:row>
      <xdr:rowOff>299358</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483382" y="16753658"/>
          <a:ext cx="7402831" cy="255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0">
              <a:solidFill>
                <a:srgbClr val="00B050"/>
              </a:solidFill>
            </a:rPr>
            <a:t>Insert prices for 2019 here in </a:t>
          </a:r>
          <a:r>
            <a:rPr lang="en-AU" sz="1200" b="0" u="sng">
              <a:solidFill>
                <a:srgbClr val="00B050"/>
              </a:solidFill>
            </a:rPr>
            <a:t>real terms .</a:t>
          </a:r>
          <a:r>
            <a:rPr lang="en-AU" sz="1200" b="0" baseline="0">
              <a:solidFill>
                <a:srgbClr val="00B050"/>
              </a:solidFill>
            </a:rPr>
            <a:t>  </a:t>
          </a:r>
          <a:r>
            <a:rPr lang="en-AU" sz="1200" b="0">
              <a:solidFill>
                <a:srgbClr val="00B050"/>
              </a:solidFill>
            </a:rPr>
            <a:t>Insert the annual decrease in real prices here (omit</a:t>
          </a:r>
          <a:r>
            <a:rPr lang="en-AU" sz="1200" b="0" baseline="0">
              <a:solidFill>
                <a:srgbClr val="00B050"/>
              </a:solidFill>
            </a:rPr>
            <a:t> inflation)</a:t>
          </a:r>
          <a:endParaRPr lang="en-AU" sz="1200" b="0">
            <a:solidFill>
              <a:srgbClr val="00B050"/>
            </a:solidFill>
          </a:endParaRPr>
        </a:p>
      </xdr:txBody>
    </xdr:sp>
    <xdr:clientData/>
  </xdr:twoCellAnchor>
  <xdr:twoCellAnchor>
    <xdr:from>
      <xdr:col>2</xdr:col>
      <xdr:colOff>320040</xdr:colOff>
      <xdr:row>68</xdr:row>
      <xdr:rowOff>349680</xdr:rowOff>
    </xdr:from>
    <xdr:to>
      <xdr:col>2</xdr:col>
      <xdr:colOff>320400</xdr:colOff>
      <xdr:row>68</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17" name="Ink 16">
              <a:extLst>
                <a:ext uri="{FF2B5EF4-FFF2-40B4-BE49-F238E27FC236}">
                  <a16:creationId xmlns:a16="http://schemas.microsoft.com/office/drawing/2014/main" id="{00000000-0008-0000-0100-000011000000}"/>
                </a:ext>
              </a:extLst>
            </xdr14:cNvPr>
            <xdr14:cNvContentPartPr/>
          </xdr14:nvContentPartPr>
          <xdr14:nvPr macro=""/>
          <xdr14:xfrm>
            <a:off x="7955280" y="9707040"/>
            <a:ext cx="360" cy="360"/>
          </xdr14:xfrm>
        </xdr:contentPart>
      </mc:Choice>
      <mc:Fallback xmlns="">
        <xdr:pic>
          <xdr:nvPicPr>
            <xdr:cNvPr id="17" name="Ink 16"/>
            <xdr:cNvPicPr/>
          </xdr:nvPicPr>
          <xdr:blipFill/>
          <xdr:spPr/>
        </xdr:pic>
      </mc:Fallback>
    </mc:AlternateContent>
    <xdr:clientData/>
  </xdr:twoCellAnchor>
  <xdr:twoCellAnchor>
    <xdr:from>
      <xdr:col>5</xdr:col>
      <xdr:colOff>625929</xdr:colOff>
      <xdr:row>69</xdr:row>
      <xdr:rowOff>326572</xdr:rowOff>
    </xdr:from>
    <xdr:to>
      <xdr:col>8</xdr:col>
      <xdr:colOff>54429</xdr:colOff>
      <xdr:row>70</xdr:row>
      <xdr:rowOff>190500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flipH="1">
          <a:off x="9620250" y="17036143"/>
          <a:ext cx="1796143" cy="231321"/>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299358</xdr:colOff>
      <xdr:row>69</xdr:row>
      <xdr:rowOff>340179</xdr:rowOff>
    </xdr:from>
    <xdr:to>
      <xdr:col>3</xdr:col>
      <xdr:colOff>734786</xdr:colOff>
      <xdr:row>75</xdr:row>
      <xdr:rowOff>40821</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flipH="1">
          <a:off x="7715251" y="17049750"/>
          <a:ext cx="435428" cy="1088571"/>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320040</xdr:colOff>
      <xdr:row>92</xdr:row>
      <xdr:rowOff>349680</xdr:rowOff>
    </xdr:from>
    <xdr:to>
      <xdr:col>2</xdr:col>
      <xdr:colOff>320400</xdr:colOff>
      <xdr:row>92</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20" name="Ink 19">
              <a:extLst>
                <a:ext uri="{FF2B5EF4-FFF2-40B4-BE49-F238E27FC236}">
                  <a16:creationId xmlns:a16="http://schemas.microsoft.com/office/drawing/2014/main" id="{00000000-0008-0000-0100-000014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2</xdr:col>
      <xdr:colOff>320040</xdr:colOff>
      <xdr:row>86</xdr:row>
      <xdr:rowOff>349680</xdr:rowOff>
    </xdr:from>
    <xdr:to>
      <xdr:col>2</xdr:col>
      <xdr:colOff>320400</xdr:colOff>
      <xdr:row>86</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24" name="Ink 23">
              <a:extLst>
                <a:ext uri="{FF2B5EF4-FFF2-40B4-BE49-F238E27FC236}">
                  <a16:creationId xmlns:a16="http://schemas.microsoft.com/office/drawing/2014/main" id="{00000000-0008-0000-0100-000018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2</xdr:col>
      <xdr:colOff>320040</xdr:colOff>
      <xdr:row>103</xdr:row>
      <xdr:rowOff>349680</xdr:rowOff>
    </xdr:from>
    <xdr:to>
      <xdr:col>2</xdr:col>
      <xdr:colOff>320400</xdr:colOff>
      <xdr:row>103</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7" name="Ink 26">
              <a:extLst>
                <a:ext uri="{FF2B5EF4-FFF2-40B4-BE49-F238E27FC236}">
                  <a16:creationId xmlns:a16="http://schemas.microsoft.com/office/drawing/2014/main" id="{00000000-0008-0000-0100-00001B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0</xdr:col>
      <xdr:colOff>87630</xdr:colOff>
      <xdr:row>29</xdr:row>
      <xdr:rowOff>215537</xdr:rowOff>
    </xdr:from>
    <xdr:to>
      <xdr:col>9</xdr:col>
      <xdr:colOff>449036</xdr:colOff>
      <xdr:row>48</xdr:row>
      <xdr:rowOff>176893</xdr:rowOff>
    </xdr:to>
    <xdr:graphicFrame macro="">
      <xdr:nvGraphicFramePr>
        <xdr:cNvPr id="29" name="Chart 2">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675821</xdr:colOff>
      <xdr:row>93</xdr:row>
      <xdr:rowOff>181428</xdr:rowOff>
    </xdr:from>
    <xdr:to>
      <xdr:col>11</xdr:col>
      <xdr:colOff>158750</xdr:colOff>
      <xdr:row>94</xdr:row>
      <xdr:rowOff>95250</xdr:rowOff>
    </xdr:to>
    <xdr:sp macro="" textlink="">
      <xdr:nvSpPr>
        <xdr:cNvPr id="25" name="TextBox 24">
          <a:extLst>
            <a:ext uri="{FF2B5EF4-FFF2-40B4-BE49-F238E27FC236}">
              <a16:creationId xmlns:a16="http://schemas.microsoft.com/office/drawing/2014/main" id="{1869A518-4343-42EA-8930-8F09736A1F8E}"/>
            </a:ext>
          </a:extLst>
        </xdr:cNvPr>
        <xdr:cNvSpPr txBox="1"/>
      </xdr:nvSpPr>
      <xdr:spPr>
        <a:xfrm>
          <a:off x="6644821" y="24565428"/>
          <a:ext cx="5832929" cy="278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rgbClr val="00B050"/>
              </a:solidFill>
            </a:rPr>
            <a:t>Insert forecast</a:t>
          </a:r>
          <a:r>
            <a:rPr lang="en-AU" sz="1200" b="1" baseline="0">
              <a:solidFill>
                <a:srgbClr val="00B050"/>
              </a:solidFill>
            </a:rPr>
            <a:t> of </a:t>
          </a:r>
          <a:r>
            <a:rPr lang="en-AU" sz="1200" b="1">
              <a:solidFill>
                <a:srgbClr val="00B050"/>
              </a:solidFill>
            </a:rPr>
            <a:t>sales outside Bangla Desh as a percentage of sales</a:t>
          </a:r>
          <a:r>
            <a:rPr lang="en-AU" sz="1200" b="1" baseline="0">
              <a:solidFill>
                <a:srgbClr val="00B050"/>
              </a:solidFill>
            </a:rPr>
            <a:t> </a:t>
          </a:r>
          <a:r>
            <a:rPr lang="en-AU" sz="1200" b="1">
              <a:solidFill>
                <a:srgbClr val="00B050"/>
              </a:solidFill>
            </a:rPr>
            <a:t>inside Bangla Desh</a:t>
          </a:r>
        </a:p>
      </xdr:txBody>
    </xdr:sp>
    <xdr:clientData/>
  </xdr:twoCellAnchor>
  <xdr:twoCellAnchor>
    <xdr:from>
      <xdr:col>3</xdr:col>
      <xdr:colOff>381000</xdr:colOff>
      <xdr:row>86</xdr:row>
      <xdr:rowOff>353785</xdr:rowOff>
    </xdr:from>
    <xdr:to>
      <xdr:col>5</xdr:col>
      <xdr:colOff>585107</xdr:colOff>
      <xdr:row>87</xdr:row>
      <xdr:rowOff>108856</xdr:rowOff>
    </xdr:to>
    <xdr:sp macro="" textlink="">
      <xdr:nvSpPr>
        <xdr:cNvPr id="35" name="TextBox 34">
          <a:extLst>
            <a:ext uri="{FF2B5EF4-FFF2-40B4-BE49-F238E27FC236}">
              <a16:creationId xmlns:a16="http://schemas.microsoft.com/office/drawing/2014/main" id="{E161FD66-B12B-466B-82C2-2164223E473E}"/>
            </a:ext>
          </a:extLst>
        </xdr:cNvPr>
        <xdr:cNvSpPr txBox="1"/>
      </xdr:nvSpPr>
      <xdr:spPr>
        <a:xfrm>
          <a:off x="6340929" y="21077464"/>
          <a:ext cx="1782535" cy="32657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rgbClr val="00B050"/>
              </a:solidFill>
              <a:effectLst/>
              <a:uLnTx/>
              <a:uFillTx/>
              <a:latin typeface="Calibri"/>
              <a:ea typeface="+mn-ea"/>
              <a:cs typeface="+mn-cs"/>
            </a:rPr>
            <a:t>Insert cash grants here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200" b="1" i="0" u="none" strike="noStrike" kern="0" cap="none" spc="0" normalizeH="0" baseline="0" noProof="0">
            <a:ln>
              <a:noFill/>
            </a:ln>
            <a:solidFill>
              <a:srgbClr val="00B050"/>
            </a:solidFill>
            <a:effectLst/>
            <a:uLnTx/>
            <a:uFillTx/>
            <a:latin typeface="Calibri"/>
            <a:ea typeface="+mn-ea"/>
            <a:cs typeface="+mn-cs"/>
          </a:endParaRPr>
        </a:p>
      </xdr:txBody>
    </xdr:sp>
    <xdr:clientData/>
  </xdr:twoCellAnchor>
  <xdr:twoCellAnchor>
    <xdr:from>
      <xdr:col>3</xdr:col>
      <xdr:colOff>489857</xdr:colOff>
      <xdr:row>87</xdr:row>
      <xdr:rowOff>54428</xdr:rowOff>
    </xdr:from>
    <xdr:to>
      <xdr:col>4</xdr:col>
      <xdr:colOff>149678</xdr:colOff>
      <xdr:row>89</xdr:row>
      <xdr:rowOff>108857</xdr:rowOff>
    </xdr:to>
    <xdr:cxnSp macro="">
      <xdr:nvCxnSpPr>
        <xdr:cNvPr id="37" name="Straight Arrow Connector 36">
          <a:extLst>
            <a:ext uri="{FF2B5EF4-FFF2-40B4-BE49-F238E27FC236}">
              <a16:creationId xmlns:a16="http://schemas.microsoft.com/office/drawing/2014/main" id="{CEB1739C-8CCB-48A1-B41F-27A35C9F3756}"/>
            </a:ext>
          </a:extLst>
        </xdr:cNvPr>
        <xdr:cNvCxnSpPr/>
      </xdr:nvCxnSpPr>
      <xdr:spPr>
        <a:xfrm flipH="1">
          <a:off x="6449786" y="21349607"/>
          <a:ext cx="449035" cy="462643"/>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655413</xdr:colOff>
      <xdr:row>94</xdr:row>
      <xdr:rowOff>86178</xdr:rowOff>
    </xdr:from>
    <xdr:to>
      <xdr:col>5</xdr:col>
      <xdr:colOff>92982</xdr:colOff>
      <xdr:row>96</xdr:row>
      <xdr:rowOff>18144</xdr:rowOff>
    </xdr:to>
    <xdr:cxnSp macro="">
      <xdr:nvCxnSpPr>
        <xdr:cNvPr id="39" name="Straight Arrow Connector 38">
          <a:extLst>
            <a:ext uri="{FF2B5EF4-FFF2-40B4-BE49-F238E27FC236}">
              <a16:creationId xmlns:a16="http://schemas.microsoft.com/office/drawing/2014/main" id="{6DDF9459-185F-462A-98E2-DEECB721F0C6}"/>
            </a:ext>
          </a:extLst>
        </xdr:cNvPr>
        <xdr:cNvCxnSpPr/>
      </xdr:nvCxnSpPr>
      <xdr:spPr>
        <a:xfrm flipH="1">
          <a:off x="7418163" y="24835303"/>
          <a:ext cx="231319" cy="344716"/>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510267</xdr:colOff>
      <xdr:row>48</xdr:row>
      <xdr:rowOff>190500</xdr:rowOff>
    </xdr:from>
    <xdr:to>
      <xdr:col>7</xdr:col>
      <xdr:colOff>476251</xdr:colOff>
      <xdr:row>50</xdr:row>
      <xdr:rowOff>95249</xdr:rowOff>
    </xdr:to>
    <xdr:sp macro="" textlink="">
      <xdr:nvSpPr>
        <xdr:cNvPr id="43" name="TextBox 42">
          <a:extLst>
            <a:ext uri="{FF2B5EF4-FFF2-40B4-BE49-F238E27FC236}">
              <a16:creationId xmlns:a16="http://schemas.microsoft.com/office/drawing/2014/main" id="{565E9658-7E2E-4D15-BC50-A289B5CAF398}"/>
            </a:ext>
          </a:extLst>
        </xdr:cNvPr>
        <xdr:cNvSpPr txBox="1"/>
      </xdr:nvSpPr>
      <xdr:spPr>
        <a:xfrm>
          <a:off x="5463267" y="11255375"/>
          <a:ext cx="4156984" cy="4921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rgbClr val="00B050"/>
              </a:solidFill>
            </a:rPr>
            <a:t>The years or months are inputted once here. There are never inputted again anywhere else </a:t>
          </a:r>
          <a:r>
            <a:rPr lang="en-AU" sz="1200" b="1" baseline="0">
              <a:solidFill>
                <a:srgbClr val="00B050"/>
              </a:solidFill>
            </a:rPr>
            <a:t> in this whole business model.</a:t>
          </a:r>
          <a:endParaRPr lang="en-AU" sz="1200" b="1">
            <a:solidFill>
              <a:srgbClr val="00B050"/>
            </a:solidFill>
          </a:endParaRPr>
        </a:p>
      </xdr:txBody>
    </xdr:sp>
    <xdr:clientData/>
  </xdr:twoCellAnchor>
  <xdr:twoCellAnchor>
    <xdr:from>
      <xdr:col>2</xdr:col>
      <xdr:colOff>707571</xdr:colOff>
      <xdr:row>50</xdr:row>
      <xdr:rowOff>40821</xdr:rowOff>
    </xdr:from>
    <xdr:to>
      <xdr:col>3</xdr:col>
      <xdr:colOff>122464</xdr:colOff>
      <xdr:row>51</xdr:row>
      <xdr:rowOff>40821</xdr:rowOff>
    </xdr:to>
    <xdr:cxnSp macro="">
      <xdr:nvCxnSpPr>
        <xdr:cNvPr id="44" name="Straight Arrow Connector 43">
          <a:extLst>
            <a:ext uri="{FF2B5EF4-FFF2-40B4-BE49-F238E27FC236}">
              <a16:creationId xmlns:a16="http://schemas.microsoft.com/office/drawing/2014/main" id="{98C25794-3ED4-4F1C-8758-19FB91FB5D3D}"/>
            </a:ext>
          </a:extLst>
        </xdr:cNvPr>
        <xdr:cNvCxnSpPr/>
      </xdr:nvCxnSpPr>
      <xdr:spPr>
        <a:xfrm>
          <a:off x="5660571" y="11334750"/>
          <a:ext cx="421822" cy="21771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3254374</xdr:colOff>
      <xdr:row>1</xdr:row>
      <xdr:rowOff>63501</xdr:rowOff>
    </xdr:from>
    <xdr:to>
      <xdr:col>10</xdr:col>
      <xdr:colOff>492125</xdr:colOff>
      <xdr:row>1</xdr:row>
      <xdr:rowOff>381001</xdr:rowOff>
    </xdr:to>
    <xdr:sp macro="" textlink="">
      <xdr:nvSpPr>
        <xdr:cNvPr id="3" name="TextBox 2">
          <a:extLst>
            <a:ext uri="{FF2B5EF4-FFF2-40B4-BE49-F238E27FC236}">
              <a16:creationId xmlns:a16="http://schemas.microsoft.com/office/drawing/2014/main" id="{4AE5AF1F-0ACA-4A6A-80FA-8FC6F3673092}"/>
            </a:ext>
          </a:extLst>
        </xdr:cNvPr>
        <xdr:cNvSpPr txBox="1"/>
      </xdr:nvSpPr>
      <xdr:spPr>
        <a:xfrm>
          <a:off x="3254374" y="460376"/>
          <a:ext cx="8763001" cy="3175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accent6">
                  <a:lumMod val="50000"/>
                </a:schemeClr>
              </a:solidFill>
            </a:rPr>
            <a:t>Some people prefer to understand the business  by reading graphs,</a:t>
          </a:r>
          <a:r>
            <a:rPr lang="en-AU" sz="1400" baseline="0">
              <a:solidFill>
                <a:schemeClr val="accent6">
                  <a:lumMod val="50000"/>
                </a:schemeClr>
              </a:solidFill>
            </a:rPr>
            <a:t> whereas others prefer numbers.  So show both!</a:t>
          </a:r>
        </a:p>
        <a:p>
          <a:endParaRPr lang="en-AU" sz="1400">
            <a:solidFill>
              <a:schemeClr val="accent6">
                <a:lumMod val="50000"/>
              </a:schemeClr>
            </a:solidFill>
          </a:endParaRPr>
        </a:p>
      </xdr:txBody>
    </xdr:sp>
    <xdr:clientData/>
  </xdr:twoCellAnchor>
  <xdr:twoCellAnchor>
    <xdr:from>
      <xdr:col>3</xdr:col>
      <xdr:colOff>777874</xdr:colOff>
      <xdr:row>52</xdr:row>
      <xdr:rowOff>333375</xdr:rowOff>
    </xdr:from>
    <xdr:to>
      <xdr:col>9</xdr:col>
      <xdr:colOff>317499</xdr:colOff>
      <xdr:row>53</xdr:row>
      <xdr:rowOff>206375</xdr:rowOff>
    </xdr:to>
    <xdr:sp macro="" textlink="">
      <xdr:nvSpPr>
        <xdr:cNvPr id="30" name="TextBox 29">
          <a:extLst>
            <a:ext uri="{FF2B5EF4-FFF2-40B4-BE49-F238E27FC236}">
              <a16:creationId xmlns:a16="http://schemas.microsoft.com/office/drawing/2014/main" id="{6D84A589-6542-42EF-8F05-BC39AE1168AF}"/>
            </a:ext>
          </a:extLst>
        </xdr:cNvPr>
        <xdr:cNvSpPr txBox="1"/>
      </xdr:nvSpPr>
      <xdr:spPr>
        <a:xfrm>
          <a:off x="6746874" y="12509500"/>
          <a:ext cx="4302125" cy="555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none" strike="noStrike" kern="0" cap="none" spc="0" normalizeH="0" baseline="0" noProof="0">
              <a:ln>
                <a:noFill/>
              </a:ln>
              <a:solidFill>
                <a:srgbClr val="00B050"/>
              </a:solidFill>
              <a:effectLst/>
              <a:uLnTx/>
              <a:uFillTx/>
              <a:latin typeface="+mn-lt"/>
              <a:ea typeface="+mn-ea"/>
              <a:cs typeface="+mn-cs"/>
            </a:rPr>
            <a:t>The blue background in cells is not necessary but it helps </a:t>
          </a:r>
          <a:r>
            <a:rPr kumimoji="0" lang="en-AU" sz="1400" b="1" i="0" u="sng" strike="noStrike" kern="0" cap="none" spc="0" normalizeH="0" baseline="0" noProof="0">
              <a:ln>
                <a:noFill/>
              </a:ln>
              <a:solidFill>
                <a:srgbClr val="00B050"/>
              </a:solidFill>
              <a:effectLst/>
              <a:uLnTx/>
              <a:uFillTx/>
              <a:latin typeface="+mn-lt"/>
              <a:ea typeface="+mn-ea"/>
              <a:cs typeface="+mn-cs"/>
            </a:rPr>
            <a:t>others</a:t>
          </a:r>
          <a:r>
            <a:rPr kumimoji="0" lang="en-AU" sz="1400" b="1" i="0" u="none" strike="noStrike" kern="0" cap="none" spc="0" normalizeH="0" baseline="0" noProof="0">
              <a:ln>
                <a:noFill/>
              </a:ln>
              <a:solidFill>
                <a:srgbClr val="00B050"/>
              </a:solidFill>
              <a:effectLst/>
              <a:uLnTx/>
              <a:uFillTx/>
              <a:latin typeface="+mn-lt"/>
              <a:ea typeface="+mn-ea"/>
              <a:cs typeface="+mn-cs"/>
            </a:rPr>
            <a:t> quickly identify the raw data  inputs.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400" b="1" i="0" u="none" strike="noStrike" kern="0" cap="none" spc="0" normalizeH="0" baseline="0" noProof="0">
            <a:ln>
              <a:noFill/>
            </a:ln>
            <a:solidFill>
              <a:srgbClr val="FF0000"/>
            </a:solidFill>
            <a:effectLst/>
            <a:uLnTx/>
            <a:uFillTx/>
            <a:latin typeface="+mn-lt"/>
            <a:ea typeface="+mn-ea"/>
            <a:cs typeface="+mn-cs"/>
          </a:endParaRPr>
        </a:p>
        <a:p>
          <a:endParaRPr lang="en-AU" sz="1200" b="1">
            <a:solidFill>
              <a:srgbClr val="00B050"/>
            </a:solidFill>
          </a:endParaRPr>
        </a:p>
        <a:p>
          <a:endParaRPr lang="en-AU" sz="1200" b="1">
            <a:solidFill>
              <a:srgbClr val="00B050"/>
            </a:solidFill>
          </a:endParaRPr>
        </a:p>
      </xdr:txBody>
    </xdr:sp>
    <xdr:clientData/>
  </xdr:twoCellAnchor>
  <xdr:twoCellAnchor>
    <xdr:from>
      <xdr:col>4</xdr:col>
      <xdr:colOff>587375</xdr:colOff>
      <xdr:row>54</xdr:row>
      <xdr:rowOff>333375</xdr:rowOff>
    </xdr:from>
    <xdr:to>
      <xdr:col>4</xdr:col>
      <xdr:colOff>730250</xdr:colOff>
      <xdr:row>57</xdr:row>
      <xdr:rowOff>47625</xdr:rowOff>
    </xdr:to>
    <xdr:cxnSp macro="">
      <xdr:nvCxnSpPr>
        <xdr:cNvPr id="33" name="Straight Arrow Connector 32">
          <a:extLst>
            <a:ext uri="{FF2B5EF4-FFF2-40B4-BE49-F238E27FC236}">
              <a16:creationId xmlns:a16="http://schemas.microsoft.com/office/drawing/2014/main" id="{6D90AC42-6EB7-40AC-9A29-B1CAB61777E5}"/>
            </a:ext>
          </a:extLst>
        </xdr:cNvPr>
        <xdr:cNvCxnSpPr/>
      </xdr:nvCxnSpPr>
      <xdr:spPr>
        <a:xfrm>
          <a:off x="7350125" y="13763625"/>
          <a:ext cx="142875" cy="492125"/>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53</xdr:row>
      <xdr:rowOff>206375</xdr:rowOff>
    </xdr:from>
    <xdr:to>
      <xdr:col>9</xdr:col>
      <xdr:colOff>47625</xdr:colOff>
      <xdr:row>57</xdr:row>
      <xdr:rowOff>190500</xdr:rowOff>
    </xdr:to>
    <xdr:cxnSp macro="">
      <xdr:nvCxnSpPr>
        <xdr:cNvPr id="38" name="Straight Arrow Connector 37">
          <a:extLst>
            <a:ext uri="{FF2B5EF4-FFF2-40B4-BE49-F238E27FC236}">
              <a16:creationId xmlns:a16="http://schemas.microsoft.com/office/drawing/2014/main" id="{C01A5CBC-8AEF-4C6D-9528-9C2CDA3639F1}"/>
            </a:ext>
          </a:extLst>
        </xdr:cNvPr>
        <xdr:cNvCxnSpPr/>
      </xdr:nvCxnSpPr>
      <xdr:spPr>
        <a:xfrm>
          <a:off x="9747250" y="13065125"/>
          <a:ext cx="1031875" cy="133350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274320</xdr:colOff>
      <xdr:row>2</xdr:row>
      <xdr:rowOff>167640</xdr:rowOff>
    </xdr:from>
    <xdr:to>
      <xdr:col>12</xdr:col>
      <xdr:colOff>149678</xdr:colOff>
      <xdr:row>22</xdr:row>
      <xdr:rowOff>182880</xdr:rowOff>
    </xdr:to>
    <xdr:graphicFrame macro="">
      <xdr:nvGraphicFramePr>
        <xdr:cNvPr id="5" name="Chart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320040</xdr:colOff>
      <xdr:row>91</xdr:row>
      <xdr:rowOff>349680</xdr:rowOff>
    </xdr:from>
    <xdr:to>
      <xdr:col>2</xdr:col>
      <xdr:colOff>320400</xdr:colOff>
      <xdr:row>91</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00000000-0008-0000-0200-000004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2</xdr:col>
      <xdr:colOff>130989</xdr:colOff>
      <xdr:row>92</xdr:row>
      <xdr:rowOff>250462</xdr:rowOff>
    </xdr:from>
    <xdr:to>
      <xdr:col>11</xdr:col>
      <xdr:colOff>430892</xdr:colOff>
      <xdr:row>93</xdr:row>
      <xdr:rowOff>92983</xdr:rowOff>
    </xdr:to>
    <xdr:sp macro="" textlink="">
      <xdr:nvSpPr>
        <xdr:cNvPr id="22" name="TextBox 21">
          <a:extLst>
            <a:ext uri="{FF2B5EF4-FFF2-40B4-BE49-F238E27FC236}">
              <a16:creationId xmlns:a16="http://schemas.microsoft.com/office/drawing/2014/main" id="{D8E344FA-041B-4FC3-AF2C-115F96DC05E8}"/>
            </a:ext>
          </a:extLst>
        </xdr:cNvPr>
        <xdr:cNvSpPr txBox="1"/>
      </xdr:nvSpPr>
      <xdr:spPr>
        <a:xfrm>
          <a:off x="5560239" y="23824837"/>
          <a:ext cx="8983528" cy="255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rgbClr val="00B050"/>
              </a:solidFill>
            </a:rPr>
            <a:t>Insert purchase prices for 2019 here in </a:t>
          </a:r>
          <a:r>
            <a:rPr lang="en-AU" sz="1200" b="1" u="sng">
              <a:solidFill>
                <a:srgbClr val="00B050"/>
              </a:solidFill>
            </a:rPr>
            <a:t>real terms.</a:t>
          </a:r>
          <a:r>
            <a:rPr lang="en-AU" sz="1200" b="1" baseline="0">
              <a:solidFill>
                <a:srgbClr val="00B050"/>
              </a:solidFill>
            </a:rPr>
            <a:t>     </a:t>
          </a:r>
          <a:r>
            <a:rPr lang="en-AU" sz="1200" b="1">
              <a:solidFill>
                <a:srgbClr val="00B050"/>
              </a:solidFill>
            </a:rPr>
            <a:t>Insert the annual decrease in real prices here (omit</a:t>
          </a:r>
          <a:r>
            <a:rPr lang="en-AU" sz="1200" b="1" baseline="0">
              <a:solidFill>
                <a:srgbClr val="00B050"/>
              </a:solidFill>
            </a:rPr>
            <a:t> inflation)</a:t>
          </a:r>
          <a:endParaRPr lang="en-AU" sz="1200" b="1">
            <a:solidFill>
              <a:srgbClr val="00B050"/>
            </a:solidFill>
          </a:endParaRPr>
        </a:p>
      </xdr:txBody>
    </xdr:sp>
    <xdr:clientData/>
  </xdr:twoCellAnchor>
  <xdr:twoCellAnchor>
    <xdr:from>
      <xdr:col>4</xdr:col>
      <xdr:colOff>625929</xdr:colOff>
      <xdr:row>93</xdr:row>
      <xdr:rowOff>95250</xdr:rowOff>
    </xdr:from>
    <xdr:to>
      <xdr:col>5</xdr:col>
      <xdr:colOff>587375</xdr:colOff>
      <xdr:row>94</xdr:row>
      <xdr:rowOff>190500</xdr:rowOff>
    </xdr:to>
    <xdr:cxnSp macro="">
      <xdr:nvCxnSpPr>
        <xdr:cNvPr id="23" name="Straight Arrow Connector 22">
          <a:extLst>
            <a:ext uri="{FF2B5EF4-FFF2-40B4-BE49-F238E27FC236}">
              <a16:creationId xmlns:a16="http://schemas.microsoft.com/office/drawing/2014/main" id="{1979AE24-8659-43A4-87A9-0869B9C37732}"/>
            </a:ext>
          </a:extLst>
        </xdr:cNvPr>
        <xdr:cNvCxnSpPr/>
      </xdr:nvCxnSpPr>
      <xdr:spPr>
        <a:xfrm flipH="1">
          <a:off x="8293554" y="24082375"/>
          <a:ext cx="882196" cy="460375"/>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682625</xdr:colOff>
      <xdr:row>93</xdr:row>
      <xdr:rowOff>63500</xdr:rowOff>
    </xdr:from>
    <xdr:to>
      <xdr:col>2</xdr:col>
      <xdr:colOff>857250</xdr:colOff>
      <xdr:row>99</xdr:row>
      <xdr:rowOff>31750</xdr:rowOff>
    </xdr:to>
    <xdr:cxnSp macro="">
      <xdr:nvCxnSpPr>
        <xdr:cNvPr id="24" name="Straight Arrow Connector 23">
          <a:extLst>
            <a:ext uri="{FF2B5EF4-FFF2-40B4-BE49-F238E27FC236}">
              <a16:creationId xmlns:a16="http://schemas.microsoft.com/office/drawing/2014/main" id="{A6B3A2C8-DE83-42F7-AD07-7A2E76946BFE}"/>
            </a:ext>
          </a:extLst>
        </xdr:cNvPr>
        <xdr:cNvCxnSpPr/>
      </xdr:nvCxnSpPr>
      <xdr:spPr>
        <a:xfrm flipH="1">
          <a:off x="6111875" y="24050625"/>
          <a:ext cx="174625" cy="13652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320040</xdr:colOff>
      <xdr:row>123</xdr:row>
      <xdr:rowOff>349680</xdr:rowOff>
    </xdr:from>
    <xdr:to>
      <xdr:col>2</xdr:col>
      <xdr:colOff>320400</xdr:colOff>
      <xdr:row>123</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0" name="Ink 29">
              <a:extLst>
                <a:ext uri="{FF2B5EF4-FFF2-40B4-BE49-F238E27FC236}">
                  <a16:creationId xmlns:a16="http://schemas.microsoft.com/office/drawing/2014/main" id="{F10E3B5B-6D42-4BE7-8C62-A577DA724E21}"/>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1</xdr:col>
      <xdr:colOff>450214</xdr:colOff>
      <xdr:row>49</xdr:row>
      <xdr:rowOff>142877</xdr:rowOff>
    </xdr:from>
    <xdr:to>
      <xdr:col>2</xdr:col>
      <xdr:colOff>1222375</xdr:colOff>
      <xdr:row>50</xdr:row>
      <xdr:rowOff>301626</xdr:rowOff>
    </xdr:to>
    <xdr:sp macro="" textlink="">
      <xdr:nvSpPr>
        <xdr:cNvPr id="8" name="TextBox 7">
          <a:extLst>
            <a:ext uri="{FF2B5EF4-FFF2-40B4-BE49-F238E27FC236}">
              <a16:creationId xmlns:a16="http://schemas.microsoft.com/office/drawing/2014/main" id="{E477C112-950F-4AD4-8FEB-C56379D8312A}"/>
            </a:ext>
          </a:extLst>
        </xdr:cNvPr>
        <xdr:cNvSpPr txBox="1"/>
      </xdr:nvSpPr>
      <xdr:spPr>
        <a:xfrm>
          <a:off x="4006214" y="12636502"/>
          <a:ext cx="2645411" cy="365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0" i="1">
              <a:solidFill>
                <a:srgbClr val="00B050"/>
              </a:solidFill>
            </a:rPr>
            <a:t>Nominal terms are in italics</a:t>
          </a:r>
        </a:p>
        <a:p>
          <a:endParaRPr lang="en-AU" sz="1600" b="1" i="1">
            <a:solidFill>
              <a:srgbClr val="00B050"/>
            </a:solidFill>
          </a:endParaRPr>
        </a:p>
      </xdr:txBody>
    </xdr:sp>
    <xdr:clientData/>
  </xdr:twoCellAnchor>
  <xdr:twoCellAnchor>
    <xdr:from>
      <xdr:col>2</xdr:col>
      <xdr:colOff>603250</xdr:colOff>
      <xdr:row>50</xdr:row>
      <xdr:rowOff>222250</xdr:rowOff>
    </xdr:from>
    <xdr:to>
      <xdr:col>2</xdr:col>
      <xdr:colOff>1158875</xdr:colOff>
      <xdr:row>51</xdr:row>
      <xdr:rowOff>111125</xdr:rowOff>
    </xdr:to>
    <xdr:cxnSp macro="">
      <xdr:nvCxnSpPr>
        <xdr:cNvPr id="9" name="Straight Arrow Connector 8">
          <a:extLst>
            <a:ext uri="{FF2B5EF4-FFF2-40B4-BE49-F238E27FC236}">
              <a16:creationId xmlns:a16="http://schemas.microsoft.com/office/drawing/2014/main" id="{5E53807B-0BCB-4EEB-A58D-175C96AC1CDC}"/>
            </a:ext>
          </a:extLst>
        </xdr:cNvPr>
        <xdr:cNvCxnSpPr/>
      </xdr:nvCxnSpPr>
      <xdr:spPr>
        <a:xfrm>
          <a:off x="6032500" y="12922250"/>
          <a:ext cx="555625" cy="206375"/>
        </a:xfrm>
        <a:prstGeom prst="straightConnector1">
          <a:avLst/>
        </a:prstGeom>
        <a:ln w="38100">
          <a:solidFill>
            <a:srgbClr val="189C34"/>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2111375</xdr:colOff>
      <xdr:row>3</xdr:row>
      <xdr:rowOff>95250</xdr:rowOff>
    </xdr:from>
    <xdr:to>
      <xdr:col>13</xdr:col>
      <xdr:colOff>590550</xdr:colOff>
      <xdr:row>16</xdr:row>
      <xdr:rowOff>190500</xdr:rowOff>
    </xdr:to>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320040</xdr:colOff>
      <xdr:row>49</xdr:row>
      <xdr:rowOff>349680</xdr:rowOff>
    </xdr:from>
    <xdr:to>
      <xdr:col>2</xdr:col>
      <xdr:colOff>320400</xdr:colOff>
      <xdr:row>49</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5" name="Ink 4">
              <a:extLst>
                <a:ext uri="{FF2B5EF4-FFF2-40B4-BE49-F238E27FC236}">
                  <a16:creationId xmlns:a16="http://schemas.microsoft.com/office/drawing/2014/main" id="{00000000-0008-0000-0300-000005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2</xdr:col>
      <xdr:colOff>320040</xdr:colOff>
      <xdr:row>77</xdr:row>
      <xdr:rowOff>349680</xdr:rowOff>
    </xdr:from>
    <xdr:to>
      <xdr:col>2</xdr:col>
      <xdr:colOff>320400</xdr:colOff>
      <xdr:row>77</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Ink 5">
              <a:extLst>
                <a:ext uri="{FF2B5EF4-FFF2-40B4-BE49-F238E27FC236}">
                  <a16:creationId xmlns:a16="http://schemas.microsoft.com/office/drawing/2014/main" id="{00000000-0008-0000-0300-000006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13970</xdr:colOff>
      <xdr:row>3</xdr:row>
      <xdr:rowOff>14605</xdr:rowOff>
    </xdr:from>
    <xdr:to>
      <xdr:col>6</xdr:col>
      <xdr:colOff>547370</xdr:colOff>
      <xdr:row>19</xdr:row>
      <xdr:rowOff>161290</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760095</xdr:colOff>
      <xdr:row>3</xdr:row>
      <xdr:rowOff>14605</xdr:rowOff>
    </xdr:from>
    <xdr:to>
      <xdr:col>14</xdr:col>
      <xdr:colOff>516255</xdr:colOff>
      <xdr:row>19</xdr:row>
      <xdr:rowOff>106045</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1158875</xdr:colOff>
      <xdr:row>1</xdr:row>
      <xdr:rowOff>0</xdr:rowOff>
    </xdr:from>
    <xdr:to>
      <xdr:col>13</xdr:col>
      <xdr:colOff>889000</xdr:colOff>
      <xdr:row>2</xdr:row>
      <xdr:rowOff>158750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4572000" y="396875"/>
          <a:ext cx="11715750" cy="9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rgbClr val="00B050"/>
              </a:solidFill>
            </a:rPr>
            <a:t>This graph of four cashstreams is most revealing about the underlying strength of the business.  How</a:t>
          </a:r>
          <a:r>
            <a:rPr lang="en-AU" sz="1400" b="1" baseline="0">
              <a:solidFill>
                <a:srgbClr val="00B050"/>
              </a:solidFill>
            </a:rPr>
            <a:t> large are the cashflow deficits and cashflow positives </a:t>
          </a:r>
          <a:r>
            <a:rPr lang="en-AU" sz="1400" b="1" u="sng" baseline="0">
              <a:solidFill>
                <a:srgbClr val="00B050"/>
              </a:solidFill>
            </a:rPr>
            <a:t>relative </a:t>
          </a:r>
          <a:r>
            <a:rPr lang="en-AU" sz="1400" b="1" baseline="0">
              <a:solidFill>
                <a:srgbClr val="00B050"/>
              </a:solidFill>
            </a:rPr>
            <a:t>to the costs and taxes in each year?  Are there solid margins?  </a:t>
          </a:r>
        </a:p>
        <a:p>
          <a:r>
            <a:rPr lang="en-AU" sz="1400" b="1" baseline="0">
              <a:solidFill>
                <a:srgbClr val="00B050"/>
              </a:solidFill>
            </a:rPr>
            <a:t>NOTE: A social enterprise that resells and distributes products made by thrid parties might be a low margin business, so be conscious of the dangers of being undercut in prices or of having increases in the cost of buying the products from suppliers.</a:t>
          </a:r>
        </a:p>
        <a:p>
          <a:endParaRPr lang="en-AU" sz="1400" b="1">
            <a:solidFill>
              <a:srgbClr val="00B050"/>
            </a:solidFill>
          </a:endParaRPr>
        </a:p>
      </xdr:txBody>
    </xdr:sp>
    <xdr:clientData/>
  </xdr:twoCellAnchor>
  <xdr:twoCellAnchor>
    <xdr:from>
      <xdr:col>1</xdr:col>
      <xdr:colOff>396876</xdr:colOff>
      <xdr:row>1</xdr:row>
      <xdr:rowOff>666750</xdr:rowOff>
    </xdr:from>
    <xdr:to>
      <xdr:col>1</xdr:col>
      <xdr:colOff>1190625</xdr:colOff>
      <xdr:row>4</xdr:row>
      <xdr:rowOff>0</xdr:rowOff>
    </xdr:to>
    <xdr:cxnSp macro="">
      <xdr:nvCxnSpPr>
        <xdr:cNvPr id="8" name="Straight Arrow Connector 7">
          <a:extLst>
            <a:ext uri="{FF2B5EF4-FFF2-40B4-BE49-F238E27FC236}">
              <a16:creationId xmlns:a16="http://schemas.microsoft.com/office/drawing/2014/main" id="{00000000-0008-0000-0400-000008000000}"/>
            </a:ext>
          </a:extLst>
        </xdr:cNvPr>
        <xdr:cNvCxnSpPr/>
      </xdr:nvCxnSpPr>
      <xdr:spPr>
        <a:xfrm flipH="1">
          <a:off x="3810001" y="1063625"/>
          <a:ext cx="793749" cy="555625"/>
        </a:xfrm>
        <a:prstGeom prst="straightConnector1">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137160</xdr:rowOff>
    </xdr:from>
    <xdr:to>
      <xdr:col>9</xdr:col>
      <xdr:colOff>174624</xdr:colOff>
      <xdr:row>20</xdr:row>
      <xdr:rowOff>111125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36</xdr:row>
      <xdr:rowOff>349251</xdr:rowOff>
    </xdr:from>
    <xdr:to>
      <xdr:col>5</xdr:col>
      <xdr:colOff>127000</xdr:colOff>
      <xdr:row>40</xdr:row>
      <xdr:rowOff>15875</xdr:rowOff>
    </xdr:to>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flipH="1" flipV="1">
          <a:off x="8032750" y="9906001"/>
          <a:ext cx="571500" cy="984249"/>
        </a:xfrm>
        <a:prstGeom prst="straightConnector1">
          <a:avLst/>
        </a:prstGeom>
        <a:ln w="38100">
          <a:solidFill>
            <a:srgbClr val="189C34"/>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523875</xdr:colOff>
      <xdr:row>49</xdr:row>
      <xdr:rowOff>0</xdr:rowOff>
    </xdr:from>
    <xdr:to>
      <xdr:col>2</xdr:col>
      <xdr:colOff>1285875</xdr:colOff>
      <xdr:row>49</xdr:row>
      <xdr:rowOff>142875</xdr:rowOff>
    </xdr:to>
    <xdr:cxnSp macro="">
      <xdr:nvCxnSpPr>
        <xdr:cNvPr id="6" name="Straight Arrow Connector 5">
          <a:extLst>
            <a:ext uri="{FF2B5EF4-FFF2-40B4-BE49-F238E27FC236}">
              <a16:creationId xmlns:a16="http://schemas.microsoft.com/office/drawing/2014/main" id="{B5BA4F9E-2C28-4DA1-9F28-971684D1E698}"/>
            </a:ext>
          </a:extLst>
        </xdr:cNvPr>
        <xdr:cNvCxnSpPr/>
      </xdr:nvCxnSpPr>
      <xdr:spPr>
        <a:xfrm>
          <a:off x="5842000" y="13589000"/>
          <a:ext cx="762000" cy="142875"/>
        </a:xfrm>
        <a:prstGeom prst="straightConnector1">
          <a:avLst/>
        </a:prstGeom>
        <a:ln w="9525">
          <a:solidFill>
            <a:srgbClr val="0070C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79376</xdr:colOff>
      <xdr:row>40</xdr:row>
      <xdr:rowOff>2</xdr:rowOff>
    </xdr:from>
    <xdr:to>
      <xdr:col>7</xdr:col>
      <xdr:colOff>365126</xdr:colOff>
      <xdr:row>40</xdr:row>
      <xdr:rowOff>285750</xdr:rowOff>
    </xdr:to>
    <xdr:sp macro="" textlink="">
      <xdr:nvSpPr>
        <xdr:cNvPr id="10" name="TextBox 9">
          <a:extLst>
            <a:ext uri="{FF2B5EF4-FFF2-40B4-BE49-F238E27FC236}">
              <a16:creationId xmlns:a16="http://schemas.microsoft.com/office/drawing/2014/main" id="{D5246764-CFBD-437E-933D-43F39AAFDB81}"/>
            </a:ext>
          </a:extLst>
        </xdr:cNvPr>
        <xdr:cNvSpPr txBox="1"/>
      </xdr:nvSpPr>
      <xdr:spPr>
        <a:xfrm>
          <a:off x="7635876" y="10874377"/>
          <a:ext cx="3048000" cy="285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600" b="0" i="1">
              <a:solidFill>
                <a:srgbClr val="00B050"/>
              </a:solidFill>
            </a:rPr>
            <a:t>Nominal dollars are in italics</a:t>
          </a:r>
        </a:p>
        <a:p>
          <a:endParaRPr lang="en-AU" sz="1600" b="1" i="1">
            <a:solidFill>
              <a:srgbClr val="00B050"/>
            </a:solidFill>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5T05:33:22.518"/>
    </inkml:context>
    <inkml:brush xml:id="br0">
      <inkml:brushProperty name="width" value="0.028" units="cm"/>
      <inkml:brushProperty name="height" value="0.028" units="cm"/>
      <inkml:brushProperty name="ignorePressure" value="1"/>
    </inkml:brush>
  </inkml:definitions>
  <inkml:traceGroup>
    <inkml:annotationXML>
      <emma:emma xmlns:emma="http://www.w3.org/2003/04/emma" version="1.0">
        <emma:interpretation id="{ABA863F9-DD05-4867-AC7D-E2A859C3666F}" emma:medium="tactile" emma:mode="ink">
          <msink:context xmlns:msink="http://schemas.microsoft.com/ink/2010/main" type="writingRegion" rotatedBoundingBox="22098,26964 22113,26964 22113,26979 22098,26979"/>
        </emma:interpretation>
      </emma:emma>
    </inkml:annotationXML>
    <inkml:traceGroup>
      <inkml:annotationXML>
        <emma:emma xmlns:emma="http://www.w3.org/2003/04/emma" version="1.0">
          <emma:interpretation id="{DE4A53B6-5971-416B-A3AD-378EA7ABC4ED}" emma:medium="tactile" emma:mode="ink">
            <msink:context xmlns:msink="http://schemas.microsoft.com/ink/2010/main" type="paragraph" rotatedBoundingBox="22098,26964 22113,26964 22113,26979 22098,26979" alignmentLevel="1"/>
          </emma:interpretation>
        </emma:emma>
      </inkml:annotationXML>
      <inkml:traceGroup>
        <inkml:annotationXML>
          <emma:emma xmlns:emma="http://www.w3.org/2003/04/emma" version="1.0">
            <emma:interpretation id="{99F8D7B3-15EC-4674-A7BD-98D20E1839AF}" emma:medium="tactile" emma:mode="ink">
              <msink:context xmlns:msink="http://schemas.microsoft.com/ink/2010/main" type="line" rotatedBoundingBox="22098,26964 22113,26964 22113,26979 22098,26979"/>
            </emma:interpretation>
          </emma:emma>
        </inkml:annotationXML>
        <inkml:traceGroup>
          <inkml:annotationXML>
            <emma:emma xmlns:emma="http://www.w3.org/2003/04/emma" version="1.0">
              <emma:interpretation id="{6E16F1CF-CACE-4B9A-9A12-9F027500AD8A}" emma:medium="tactile" emma:mode="ink">
                <msink:context xmlns:msink="http://schemas.microsoft.com/ink/2010/main" type="inkWord" rotatedBoundingBox="22098,26964 22113,26964 22113,26979 22098,26979"/>
              </emma:interpretation>
            </emma:emma>
          </inkml:annotationXML>
          <inkml:trace contextRef="#ctx0" brushRef="#br0">5526 6743</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5T05:38:32.252"/>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9-12T23:37:06.785"/>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9-12T23:38:34.090"/>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9-12T23:57:55.299"/>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5T06:20:14.529"/>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8-07T06:18:20.568"/>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6T12:31:12.538"/>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7T03:19:18.497"/>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15"/>
  <sheetViews>
    <sheetView tabSelected="1" zoomScale="60" zoomScaleNormal="60" workbookViewId="0">
      <selection activeCell="V5" sqref="V5"/>
    </sheetView>
  </sheetViews>
  <sheetFormatPr defaultColWidth="8.85546875" defaultRowHeight="15" x14ac:dyDescent="0.25"/>
  <cols>
    <col min="1" max="1" width="27.42578125" customWidth="1"/>
    <col min="2" max="2" width="14.42578125" customWidth="1"/>
    <col min="3" max="3" width="12.7109375" customWidth="1"/>
    <col min="4" max="4" width="10.7109375" customWidth="1"/>
    <col min="10" max="11" width="14.140625" style="166" customWidth="1"/>
    <col min="12" max="12" width="8.85546875" style="166"/>
    <col min="13" max="13" width="23" style="166" customWidth="1"/>
    <col min="14" max="14" width="20.85546875" style="166" customWidth="1"/>
  </cols>
  <sheetData>
    <row r="1" spans="1:26" s="6" customFormat="1" ht="26.25" x14ac:dyDescent="0.25">
      <c r="A1" s="55" t="s">
        <v>429</v>
      </c>
      <c r="B1" s="31"/>
      <c r="C1" s="31"/>
      <c r="D1" s="31"/>
      <c r="E1" s="31"/>
      <c r="F1" s="31"/>
      <c r="G1" s="31"/>
      <c r="H1" s="31"/>
      <c r="I1" s="31"/>
      <c r="J1" s="160"/>
      <c r="K1" s="160"/>
      <c r="L1" s="160"/>
      <c r="M1" s="161"/>
      <c r="N1" s="161"/>
      <c r="O1" s="29"/>
      <c r="P1" s="29"/>
      <c r="Q1" s="29"/>
      <c r="R1" s="29"/>
      <c r="S1" s="29"/>
      <c r="T1" s="29"/>
      <c r="U1" s="29"/>
      <c r="V1" s="29"/>
      <c r="W1" s="29"/>
      <c r="X1" s="29"/>
      <c r="Y1" s="29"/>
      <c r="Z1" s="29"/>
    </row>
    <row r="2" spans="1:26" s="6" customFormat="1" ht="21" customHeight="1" x14ac:dyDescent="0.25">
      <c r="A2" s="58" t="s">
        <v>0</v>
      </c>
      <c r="B2" s="29"/>
      <c r="C2" s="29"/>
      <c r="D2" s="29"/>
      <c r="E2" s="29"/>
      <c r="F2" s="29"/>
      <c r="G2" s="29"/>
      <c r="H2" s="29"/>
      <c r="I2" s="29"/>
      <c r="J2" s="161"/>
      <c r="K2" s="161"/>
      <c r="L2" s="161"/>
      <c r="M2" s="161"/>
      <c r="N2" s="161"/>
      <c r="O2" s="29"/>
      <c r="P2" s="29"/>
      <c r="Q2" s="29"/>
      <c r="R2" s="29"/>
      <c r="S2" s="29"/>
    </row>
    <row r="3" spans="1:26" ht="15.75" x14ac:dyDescent="0.25">
      <c r="A3" s="56" t="s">
        <v>235</v>
      </c>
      <c r="B3" s="15"/>
      <c r="C3" s="15"/>
      <c r="D3" s="15"/>
      <c r="E3" s="15"/>
      <c r="F3" s="15"/>
      <c r="G3" s="15"/>
      <c r="H3" s="14"/>
      <c r="I3" s="14"/>
      <c r="J3" s="161"/>
      <c r="K3" s="161"/>
      <c r="L3" s="161"/>
      <c r="M3" s="161"/>
      <c r="N3" s="161"/>
      <c r="O3" s="14"/>
      <c r="P3" s="14"/>
      <c r="Q3" s="14"/>
      <c r="R3" s="14"/>
      <c r="S3" s="14"/>
    </row>
    <row r="4" spans="1:26" s="6" customFormat="1" ht="20.45" customHeight="1" x14ac:dyDescent="0.25">
      <c r="A4" s="489" t="s">
        <v>1</v>
      </c>
      <c r="B4" s="30"/>
      <c r="C4" s="30"/>
      <c r="D4" s="30"/>
      <c r="E4" s="30"/>
      <c r="F4" s="30"/>
      <c r="G4" s="30"/>
      <c r="H4" s="30"/>
      <c r="I4" s="30"/>
      <c r="J4" s="162"/>
      <c r="K4" s="162"/>
      <c r="L4" s="162"/>
      <c r="M4" s="162"/>
      <c r="N4" s="162"/>
      <c r="O4" s="30"/>
      <c r="P4" s="30"/>
      <c r="Q4" s="29"/>
      <c r="R4" s="29"/>
      <c r="S4" s="29"/>
    </row>
    <row r="5" spans="1:26" s="6" customFormat="1" ht="20.45" customHeight="1" x14ac:dyDescent="0.25">
      <c r="A5" s="263" t="s">
        <v>418</v>
      </c>
      <c r="B5" s="30"/>
      <c r="C5" s="30"/>
      <c r="D5" s="30"/>
      <c r="E5" s="30"/>
      <c r="F5" s="30"/>
      <c r="G5" s="30"/>
      <c r="H5" s="30"/>
      <c r="I5" s="30"/>
      <c r="J5" s="162"/>
      <c r="K5" s="162"/>
      <c r="L5" s="162"/>
      <c r="M5" s="162"/>
      <c r="N5" s="162"/>
      <c r="O5" s="30"/>
      <c r="P5" s="30"/>
      <c r="Q5" s="29"/>
      <c r="R5" s="29"/>
      <c r="S5" s="29"/>
    </row>
    <row r="6" spans="1:26" s="6" customFormat="1" ht="20.45" customHeight="1" x14ac:dyDescent="0.25">
      <c r="A6" s="263" t="s">
        <v>431</v>
      </c>
      <c r="B6" s="30"/>
      <c r="C6" s="30"/>
      <c r="D6" s="30"/>
      <c r="E6" s="30"/>
      <c r="F6" s="30"/>
      <c r="G6" s="30"/>
      <c r="H6" s="30"/>
      <c r="I6" s="30"/>
      <c r="J6" s="162"/>
      <c r="K6" s="162"/>
      <c r="L6" s="162"/>
      <c r="M6" s="162"/>
      <c r="N6" s="162"/>
      <c r="O6" s="30"/>
      <c r="P6" s="30"/>
      <c r="Q6" s="29"/>
      <c r="R6" s="29"/>
      <c r="S6" s="29"/>
    </row>
    <row r="7" spans="1:26" s="8" customFormat="1" ht="21" x14ac:dyDescent="0.25">
      <c r="A7" s="263" t="s">
        <v>419</v>
      </c>
      <c r="C7" s="1"/>
      <c r="D7" s="1"/>
      <c r="E7" s="1"/>
      <c r="F7" s="1"/>
      <c r="G7" s="1"/>
      <c r="H7" s="1"/>
      <c r="I7" s="1"/>
      <c r="J7" s="1"/>
      <c r="K7" s="1"/>
      <c r="L7" s="1"/>
      <c r="M7" s="1"/>
      <c r="N7" s="1"/>
      <c r="O7" s="1"/>
    </row>
    <row r="8" spans="1:26" s="8" customFormat="1" ht="21" x14ac:dyDescent="0.25">
      <c r="A8" s="263" t="s">
        <v>432</v>
      </c>
      <c r="C8" s="1"/>
      <c r="D8" s="1"/>
      <c r="E8" s="1"/>
      <c r="F8" s="1"/>
      <c r="G8" s="1"/>
      <c r="H8" s="1"/>
      <c r="I8" s="1"/>
      <c r="J8" s="1"/>
      <c r="K8" s="1"/>
      <c r="L8" s="1"/>
      <c r="M8" s="1"/>
      <c r="N8" s="1"/>
      <c r="O8" s="1"/>
    </row>
    <row r="9" spans="1:26" s="6" customFormat="1" ht="36.75" customHeight="1" x14ac:dyDescent="0.35">
      <c r="A9" s="488" t="s">
        <v>58</v>
      </c>
      <c r="B9" s="30"/>
      <c r="C9" s="30"/>
      <c r="D9" s="30"/>
      <c r="E9" s="30"/>
      <c r="F9" s="30"/>
      <c r="G9" s="30"/>
      <c r="H9" s="30"/>
      <c r="I9" s="30"/>
      <c r="J9" s="162"/>
      <c r="K9" s="162"/>
      <c r="L9" s="162"/>
      <c r="M9" s="162"/>
      <c r="N9" s="162"/>
      <c r="O9" s="30"/>
      <c r="P9" s="30"/>
      <c r="Q9" s="29"/>
      <c r="R9" s="29"/>
      <c r="S9" s="29"/>
    </row>
    <row r="10" spans="1:26" s="5" customFormat="1" ht="30.75" customHeight="1" x14ac:dyDescent="0.3">
      <c r="A10" s="264" t="s">
        <v>234</v>
      </c>
      <c r="B10" s="10"/>
      <c r="C10" s="11"/>
      <c r="D10" s="15"/>
      <c r="E10" s="12"/>
      <c r="F10" s="13"/>
      <c r="G10" s="13"/>
      <c r="H10" s="13"/>
      <c r="I10" s="13"/>
      <c r="J10" s="158"/>
      <c r="K10" s="158"/>
      <c r="L10" s="158"/>
      <c r="M10" s="162"/>
      <c r="N10" s="162"/>
      <c r="O10" s="15"/>
      <c r="P10" s="15"/>
      <c r="Q10" s="14"/>
      <c r="R10" s="14"/>
      <c r="S10" s="14"/>
    </row>
    <row r="11" spans="1:26" s="8" customFormat="1" ht="18.75" x14ac:dyDescent="0.3">
      <c r="A11" s="57" t="s">
        <v>420</v>
      </c>
      <c r="C11" s="1"/>
      <c r="D11" s="1"/>
      <c r="E11" s="1"/>
      <c r="F11" s="1"/>
      <c r="G11" s="1"/>
      <c r="H11" s="1"/>
      <c r="I11" s="1"/>
      <c r="J11" s="1"/>
      <c r="K11" s="1"/>
      <c r="L11" s="1"/>
      <c r="M11" s="1"/>
      <c r="N11" s="1"/>
      <c r="O11" s="1"/>
    </row>
    <row r="12" spans="1:26" s="8" customFormat="1" ht="15.75" x14ac:dyDescent="0.25">
      <c r="A12" s="57" t="s">
        <v>421</v>
      </c>
      <c r="B12" s="18"/>
      <c r="C12" s="19"/>
      <c r="D12" s="20"/>
      <c r="E12" s="21"/>
      <c r="F12" s="22"/>
      <c r="G12" s="20"/>
      <c r="H12" s="20"/>
      <c r="I12" s="20"/>
      <c r="J12" s="163"/>
      <c r="K12" s="163"/>
      <c r="L12" s="163"/>
      <c r="M12" s="163"/>
      <c r="N12" s="163"/>
      <c r="O12" s="20"/>
      <c r="P12" s="20"/>
    </row>
    <row r="13" spans="1:26" s="8" customFormat="1" ht="15.75" x14ac:dyDescent="0.25">
      <c r="A13" s="57" t="s">
        <v>422</v>
      </c>
      <c r="B13" s="18"/>
      <c r="C13" s="19"/>
      <c r="D13" s="20"/>
      <c r="E13" s="21"/>
      <c r="F13" s="22"/>
      <c r="G13" s="20"/>
      <c r="H13" s="20"/>
      <c r="I13" s="20"/>
      <c r="J13" s="163"/>
      <c r="K13" s="163"/>
      <c r="L13" s="163"/>
      <c r="M13" s="163"/>
      <c r="N13" s="163"/>
      <c r="O13" s="20"/>
      <c r="P13" s="20"/>
    </row>
    <row r="14" spans="1:26" s="8" customFormat="1" ht="18" x14ac:dyDescent="0.25">
      <c r="A14" s="78"/>
      <c r="B14" s="18"/>
      <c r="C14" s="19"/>
      <c r="D14" s="20"/>
      <c r="E14" s="21"/>
      <c r="F14" s="22"/>
      <c r="G14" s="20"/>
      <c r="H14" s="20"/>
      <c r="I14" s="20"/>
      <c r="J14" s="163"/>
      <c r="K14" s="163"/>
      <c r="L14" s="163"/>
      <c r="M14" s="163"/>
      <c r="N14" s="163"/>
      <c r="O14" s="20"/>
      <c r="P14" s="20"/>
    </row>
    <row r="15" spans="1:26" s="6" customFormat="1" ht="20.45" customHeight="1" x14ac:dyDescent="0.25">
      <c r="A15" s="489" t="s">
        <v>367</v>
      </c>
      <c r="B15" s="30"/>
      <c r="C15" s="30"/>
      <c r="D15" s="30"/>
      <c r="E15" s="30"/>
      <c r="F15" s="30"/>
      <c r="G15" s="30"/>
      <c r="H15" s="30"/>
      <c r="I15" s="30"/>
      <c r="J15" s="162"/>
      <c r="K15" s="162"/>
      <c r="L15" s="162"/>
      <c r="M15" s="162"/>
      <c r="N15" s="162"/>
      <c r="O15" s="30"/>
      <c r="P15" s="30"/>
      <c r="Q15" s="29"/>
      <c r="R15" s="29"/>
      <c r="S15" s="29"/>
    </row>
    <row r="16" spans="1:26" s="27" customFormat="1" ht="18.75" x14ac:dyDescent="0.3">
      <c r="A16" s="57" t="s">
        <v>13</v>
      </c>
      <c r="C16" s="54" t="s">
        <v>366</v>
      </c>
      <c r="D16" s="23"/>
      <c r="E16" s="24"/>
      <c r="F16" s="25"/>
      <c r="G16" s="23"/>
      <c r="H16" s="23"/>
      <c r="I16" s="23"/>
      <c r="J16" s="164"/>
      <c r="K16" s="164"/>
      <c r="L16" s="164"/>
      <c r="M16" s="164"/>
      <c r="N16" s="164"/>
      <c r="O16" s="23"/>
      <c r="P16" s="23"/>
      <c r="Q16" s="26"/>
      <c r="R16" s="26"/>
      <c r="S16" s="26"/>
    </row>
    <row r="17" spans="1:19" s="27" customFormat="1" ht="18.75" x14ac:dyDescent="0.3">
      <c r="A17" s="57" t="s">
        <v>236</v>
      </c>
      <c r="B17" s="57"/>
      <c r="C17" s="118" t="s">
        <v>237</v>
      </c>
      <c r="D17" s="23"/>
      <c r="E17" s="24"/>
      <c r="F17" s="25"/>
      <c r="G17" s="23"/>
      <c r="H17" s="26"/>
      <c r="I17" s="26"/>
      <c r="J17" s="165"/>
      <c r="K17" s="165"/>
      <c r="L17" s="165"/>
      <c r="M17" s="165"/>
      <c r="N17" s="165"/>
      <c r="O17" s="26"/>
      <c r="P17" s="26"/>
      <c r="Q17" s="26"/>
      <c r="R17" s="26"/>
      <c r="S17" s="26"/>
    </row>
    <row r="18" spans="1:19" s="27" customFormat="1" ht="32.25" customHeight="1" x14ac:dyDescent="0.3">
      <c r="A18" s="57"/>
      <c r="B18" s="57"/>
      <c r="C18" s="54"/>
      <c r="D18" s="23"/>
      <c r="E18" s="24"/>
      <c r="F18" s="25"/>
      <c r="G18" s="23"/>
      <c r="H18" s="26"/>
      <c r="I18" s="26"/>
      <c r="J18" s="165"/>
      <c r="K18" s="165"/>
      <c r="L18" s="165"/>
      <c r="M18" s="165"/>
      <c r="N18" s="165"/>
      <c r="O18" s="26"/>
      <c r="P18" s="26"/>
      <c r="Q18" s="26"/>
      <c r="R18" s="26"/>
      <c r="S18" s="26"/>
    </row>
    <row r="19" spans="1:19" s="6" customFormat="1" ht="34.700000000000003" customHeight="1" x14ac:dyDescent="0.25">
      <c r="A19" s="233" t="s">
        <v>19</v>
      </c>
      <c r="B19" s="29"/>
      <c r="C19" s="29"/>
      <c r="D19" s="29"/>
      <c r="E19" s="29"/>
      <c r="F19" s="29"/>
      <c r="G19" s="29"/>
      <c r="H19" s="29"/>
      <c r="I19" s="29"/>
      <c r="J19" s="161"/>
      <c r="K19" s="161"/>
      <c r="L19" s="161"/>
      <c r="M19" s="161"/>
      <c r="N19" s="161"/>
      <c r="O19" s="29"/>
      <c r="P19" s="29"/>
      <c r="Q19" s="29"/>
      <c r="R19" s="29"/>
      <c r="S19" s="29"/>
    </row>
    <row r="20" spans="1:19" s="6" customFormat="1" ht="20.45" customHeight="1" x14ac:dyDescent="0.25">
      <c r="A20" s="58" t="s">
        <v>240</v>
      </c>
      <c r="B20" s="30"/>
      <c r="C20" s="30"/>
      <c r="D20" s="30"/>
      <c r="E20" s="30"/>
      <c r="F20" s="30"/>
      <c r="G20" s="30"/>
      <c r="H20" s="30"/>
      <c r="I20" s="30"/>
      <c r="J20" s="162"/>
      <c r="K20" s="162"/>
      <c r="L20" s="162"/>
      <c r="M20" s="162"/>
      <c r="N20" s="162"/>
      <c r="O20" s="30"/>
      <c r="P20" s="30"/>
      <c r="Q20" s="29"/>
      <c r="R20" s="29"/>
      <c r="S20" s="29"/>
    </row>
    <row r="21" spans="1:19" s="3" customFormat="1" ht="15.75" x14ac:dyDescent="0.25">
      <c r="A21" s="43" t="s">
        <v>97</v>
      </c>
      <c r="B21" s="198"/>
      <c r="C21" s="198"/>
      <c r="D21" s="198"/>
      <c r="E21" s="14"/>
      <c r="F21" s="14"/>
      <c r="G21" s="14"/>
      <c r="H21" s="14"/>
      <c r="I21" s="14"/>
      <c r="J21" s="161"/>
      <c r="K21" s="161"/>
      <c r="L21" s="161"/>
      <c r="M21" s="161"/>
      <c r="N21" s="161"/>
      <c r="O21" s="14"/>
      <c r="P21" s="14"/>
      <c r="Q21" s="14"/>
      <c r="R21" s="14"/>
      <c r="S21" s="14"/>
    </row>
    <row r="22" spans="1:19" s="3" customFormat="1" ht="15.75" x14ac:dyDescent="0.25">
      <c r="A22" s="199">
        <f>45+22.4</f>
        <v>67.400000000000006</v>
      </c>
      <c r="B22" s="198" t="s">
        <v>238</v>
      </c>
      <c r="C22" s="198"/>
      <c r="D22" s="198"/>
      <c r="E22" s="14"/>
      <c r="F22" s="14"/>
      <c r="G22" s="14"/>
      <c r="H22" s="14"/>
      <c r="I22" s="14"/>
      <c r="J22" s="161"/>
      <c r="K22" s="161"/>
      <c r="L22" s="161"/>
      <c r="M22" s="161"/>
      <c r="N22" s="161"/>
      <c r="O22" s="14"/>
      <c r="P22" s="14"/>
      <c r="Q22" s="14"/>
      <c r="R22" s="14"/>
      <c r="S22" s="14"/>
    </row>
    <row r="23" spans="1:19" s="3" customFormat="1" ht="15.75" x14ac:dyDescent="0.25">
      <c r="A23" s="9"/>
      <c r="B23" s="198" t="s">
        <v>18</v>
      </c>
      <c r="C23" s="198"/>
      <c r="D23" s="198"/>
      <c r="E23" s="14"/>
      <c r="F23" s="14"/>
      <c r="G23" s="14"/>
      <c r="H23" s="14"/>
      <c r="I23" s="14"/>
      <c r="J23" s="161"/>
      <c r="K23" s="161"/>
      <c r="L23" s="161"/>
      <c r="M23" s="161"/>
      <c r="N23" s="161"/>
      <c r="O23" s="14"/>
      <c r="P23" s="14"/>
      <c r="Q23" s="14"/>
      <c r="R23" s="14"/>
      <c r="S23" s="14"/>
    </row>
    <row r="24" spans="1:19" s="3" customFormat="1" ht="15.75" x14ac:dyDescent="0.25">
      <c r="A24" s="200">
        <v>67.400000000000006</v>
      </c>
      <c r="B24" s="198" t="s">
        <v>98</v>
      </c>
      <c r="C24" s="198"/>
      <c r="D24" s="198"/>
      <c r="E24" s="14"/>
      <c r="F24" s="14"/>
      <c r="G24" s="14"/>
      <c r="H24" s="14"/>
      <c r="I24" s="14"/>
      <c r="J24" s="161"/>
      <c r="K24" s="161"/>
      <c r="L24" s="161"/>
      <c r="M24" s="161"/>
      <c r="N24" s="161"/>
      <c r="O24" s="14"/>
      <c r="P24" s="14"/>
      <c r="Q24" s="14"/>
      <c r="R24" s="14"/>
      <c r="S24" s="14"/>
    </row>
    <row r="25" spans="1:19" s="3" customFormat="1" ht="18.75" x14ac:dyDescent="0.25">
      <c r="A25" s="58" t="s">
        <v>241</v>
      </c>
      <c r="B25" s="198"/>
      <c r="C25" s="198"/>
      <c r="D25" s="198"/>
      <c r="E25" s="14"/>
      <c r="F25" s="14"/>
      <c r="G25" s="14"/>
      <c r="H25" s="14"/>
      <c r="I25" s="14"/>
      <c r="J25" s="161"/>
      <c r="K25" s="161"/>
      <c r="L25" s="161"/>
      <c r="M25" s="161"/>
      <c r="N25" s="161"/>
      <c r="O25" s="14"/>
      <c r="P25" s="14"/>
      <c r="Q25" s="14"/>
      <c r="R25" s="14"/>
      <c r="S25" s="14"/>
    </row>
    <row r="26" spans="1:19" s="3" customFormat="1" ht="15.75" x14ac:dyDescent="0.25">
      <c r="A26" s="9"/>
      <c r="B26" s="198" t="s">
        <v>370</v>
      </c>
      <c r="C26" s="198"/>
      <c r="D26" s="198"/>
      <c r="E26" s="14"/>
      <c r="F26" s="14"/>
      <c r="G26" s="14"/>
      <c r="H26" s="14"/>
      <c r="I26" s="14"/>
      <c r="J26" s="161"/>
      <c r="K26" s="161"/>
      <c r="L26" s="161"/>
      <c r="M26" s="161"/>
      <c r="N26" s="161"/>
      <c r="O26" s="14"/>
      <c r="P26" s="14"/>
      <c r="Q26" s="14"/>
      <c r="R26" s="14"/>
      <c r="S26" s="14"/>
    </row>
    <row r="27" spans="1:19" s="3" customFormat="1" ht="15.75" x14ac:dyDescent="0.25">
      <c r="A27" s="9"/>
      <c r="B27" s="198" t="s">
        <v>368</v>
      </c>
      <c r="C27" s="198"/>
      <c r="D27" s="198"/>
      <c r="E27" s="14"/>
      <c r="F27" s="14"/>
      <c r="G27" s="14"/>
      <c r="H27" s="14"/>
      <c r="I27" s="14"/>
      <c r="J27" s="161"/>
      <c r="K27" s="161"/>
      <c r="L27" s="161"/>
      <c r="M27" s="161"/>
      <c r="N27" s="161"/>
      <c r="O27" s="14"/>
      <c r="P27" s="14"/>
      <c r="Q27" s="14"/>
      <c r="R27" s="14"/>
      <c r="S27" s="14"/>
    </row>
    <row r="28" spans="1:19" s="3" customFormat="1" ht="15.75" x14ac:dyDescent="0.25">
      <c r="A28" s="201" t="str">
        <f>'Sales&amp;Revenue'!A62</f>
        <v>Product A Sold</v>
      </c>
      <c r="B28" s="201" t="str">
        <f>'Sales&amp;Revenue'!B62</f>
        <v>units</v>
      </c>
      <c r="C28" s="265">
        <f>'Sales&amp;Revenue'!C62</f>
        <v>400090.76794514002</v>
      </c>
      <c r="D28" s="64">
        <f>'Sales&amp;Revenue'!D62</f>
        <v>20000</v>
      </c>
      <c r="E28" s="64">
        <f>'Sales&amp;Revenue'!E62</f>
        <v>21000</v>
      </c>
      <c r="F28" s="64">
        <f>'Sales&amp;Revenue'!F62</f>
        <v>23100.000000000004</v>
      </c>
      <c r="G28" s="64">
        <f>'Sales&amp;Revenue'!G62</f>
        <v>27720.000000000004</v>
      </c>
      <c r="H28" s="64">
        <f>'Sales&amp;Revenue'!H62</f>
        <v>36036.000000000007</v>
      </c>
      <c r="I28" s="64">
        <f>'Sales&amp;Revenue'!I62</f>
        <v>46846.80000000001</v>
      </c>
      <c r="J28" s="159">
        <f>'Sales&amp;Revenue'!J62</f>
        <v>53873.820000000007</v>
      </c>
      <c r="K28" s="159">
        <f>'Sales&amp;Revenue'!K62</f>
        <v>55490.034600000006</v>
      </c>
      <c r="L28" s="159">
        <f>'Sales&amp;Revenue'!L62</f>
        <v>57154.735638000006</v>
      </c>
      <c r="M28" s="159">
        <f>'Sales&amp;Revenue'!O62</f>
        <v>0</v>
      </c>
      <c r="N28" s="161"/>
      <c r="O28" s="14"/>
      <c r="P28" s="14"/>
      <c r="Q28" s="14"/>
      <c r="R28" s="14"/>
      <c r="S28" s="14"/>
    </row>
    <row r="29" spans="1:19" s="3" customFormat="1" ht="15.75" x14ac:dyDescent="0.25">
      <c r="A29" s="9"/>
      <c r="B29" s="198" t="s">
        <v>369</v>
      </c>
      <c r="C29" s="198"/>
      <c r="D29" s="198"/>
      <c r="E29" s="14"/>
      <c r="F29" s="14"/>
      <c r="G29" s="14"/>
      <c r="H29" s="14"/>
      <c r="I29" s="14"/>
      <c r="J29" s="161"/>
      <c r="K29" s="161"/>
      <c r="L29" s="161"/>
      <c r="M29" s="161"/>
      <c r="N29" s="161"/>
      <c r="O29" s="14"/>
      <c r="P29" s="14"/>
      <c r="Q29" s="14"/>
      <c r="R29" s="14"/>
      <c r="S29" s="14"/>
    </row>
    <row r="30" spans="1:19" s="3" customFormat="1" ht="15.75" x14ac:dyDescent="0.25">
      <c r="A30" s="9"/>
      <c r="B30" s="198" t="s">
        <v>239</v>
      </c>
      <c r="C30" s="198"/>
      <c r="D30" s="198"/>
      <c r="E30" s="14"/>
      <c r="F30" s="14"/>
      <c r="G30" s="14"/>
      <c r="H30" s="14"/>
      <c r="I30" s="14"/>
      <c r="J30" s="161"/>
      <c r="K30" s="161"/>
      <c r="L30" s="161"/>
      <c r="M30" s="161"/>
      <c r="N30" s="161"/>
      <c r="O30" s="14"/>
      <c r="P30" s="14"/>
      <c r="Q30" s="14"/>
      <c r="R30" s="14"/>
      <c r="S30" s="14"/>
    </row>
    <row r="31" spans="1:19" s="3" customFormat="1" ht="18.75" x14ac:dyDescent="0.25">
      <c r="A31" s="58" t="s">
        <v>242</v>
      </c>
      <c r="B31" s="198"/>
      <c r="C31" s="198"/>
      <c r="D31" s="198"/>
      <c r="E31" s="14"/>
      <c r="F31" s="14"/>
      <c r="G31" s="14"/>
      <c r="H31" s="14"/>
      <c r="I31" s="14"/>
      <c r="J31" s="161"/>
      <c r="K31" s="161"/>
      <c r="L31" s="161"/>
      <c r="M31" s="161"/>
      <c r="N31" s="161"/>
      <c r="O31" s="14"/>
      <c r="P31" s="14"/>
      <c r="Q31" s="14"/>
      <c r="R31" s="14"/>
      <c r="S31" s="14"/>
    </row>
    <row r="32" spans="1:19" s="3" customFormat="1" ht="16.5" thickBot="1" x14ac:dyDescent="0.3">
      <c r="A32" s="1">
        <f>A22+A24</f>
        <v>134.80000000000001</v>
      </c>
      <c r="B32" s="198" t="s">
        <v>17</v>
      </c>
      <c r="C32" s="198"/>
      <c r="D32" s="198"/>
      <c r="E32" s="14"/>
      <c r="F32" s="14"/>
      <c r="G32" s="14"/>
      <c r="H32" s="14"/>
      <c r="I32" s="14"/>
      <c r="J32" s="161"/>
      <c r="K32" s="161"/>
      <c r="L32" s="161"/>
      <c r="M32" s="161"/>
      <c r="N32" s="161"/>
      <c r="O32" s="14"/>
      <c r="P32" s="14"/>
      <c r="Q32" s="14"/>
      <c r="R32" s="14"/>
      <c r="S32" s="14"/>
    </row>
    <row r="33" spans="1:19" s="3" customFormat="1" ht="16.5" thickBot="1" x14ac:dyDescent="0.3">
      <c r="A33" s="202">
        <f>A22+A24</f>
        <v>134.80000000000001</v>
      </c>
      <c r="B33" s="198" t="s">
        <v>16</v>
      </c>
      <c r="C33" s="198"/>
      <c r="D33" s="198"/>
      <c r="E33" s="14"/>
      <c r="F33" s="14"/>
      <c r="G33" s="14"/>
      <c r="H33" s="14"/>
      <c r="I33" s="14"/>
      <c r="J33" s="161"/>
      <c r="K33" s="161"/>
      <c r="L33" s="161"/>
      <c r="M33" s="161"/>
      <c r="N33" s="161"/>
      <c r="O33" s="14"/>
      <c r="P33" s="14"/>
      <c r="Q33" s="14"/>
      <c r="R33" s="14"/>
      <c r="S33" s="14"/>
    </row>
    <row r="34" spans="1:19" s="3" customFormat="1" ht="18.75" x14ac:dyDescent="0.25">
      <c r="A34" s="58" t="s">
        <v>243</v>
      </c>
      <c r="B34" s="198"/>
      <c r="C34" s="198"/>
      <c r="D34" s="198"/>
      <c r="E34" s="14"/>
      <c r="F34" s="14"/>
      <c r="G34" s="14"/>
      <c r="H34" s="14"/>
      <c r="I34" s="14"/>
      <c r="J34" s="161"/>
      <c r="K34" s="161"/>
      <c r="L34" s="161"/>
      <c r="M34" s="161"/>
      <c r="N34" s="161"/>
      <c r="O34" s="14"/>
      <c r="P34" s="14"/>
      <c r="Q34" s="14"/>
      <c r="R34" s="14"/>
      <c r="S34" s="14"/>
    </row>
    <row r="35" spans="1:19" s="3" customFormat="1" ht="15.75" x14ac:dyDescent="0.25">
      <c r="A35" s="203">
        <v>67.400000000000006</v>
      </c>
      <c r="B35" s="198" t="s">
        <v>14</v>
      </c>
      <c r="C35" s="198"/>
      <c r="D35" s="198"/>
      <c r="E35" s="14"/>
      <c r="F35" s="14"/>
      <c r="G35" s="14"/>
      <c r="H35" s="14"/>
      <c r="I35" s="14"/>
      <c r="J35" s="161"/>
      <c r="K35" s="161"/>
      <c r="L35" s="161"/>
      <c r="M35" s="161"/>
      <c r="N35" s="161"/>
      <c r="O35" s="14"/>
      <c r="P35" s="14"/>
      <c r="Q35" s="14"/>
      <c r="R35" s="14"/>
      <c r="S35" s="14"/>
    </row>
    <row r="36" spans="1:19" s="3" customFormat="1" ht="18.75" x14ac:dyDescent="0.25">
      <c r="A36" s="58" t="s">
        <v>244</v>
      </c>
      <c r="B36" s="198"/>
      <c r="C36" s="198"/>
      <c r="D36" s="198"/>
      <c r="E36" s="14"/>
      <c r="F36" s="14"/>
      <c r="G36" s="14"/>
      <c r="H36" s="14"/>
      <c r="I36" s="14"/>
      <c r="J36" s="161"/>
      <c r="K36" s="161"/>
      <c r="L36" s="161"/>
      <c r="M36" s="161"/>
      <c r="N36" s="161"/>
      <c r="O36" s="14"/>
      <c r="P36" s="14"/>
      <c r="Q36" s="14"/>
      <c r="R36" s="14"/>
      <c r="S36" s="14"/>
    </row>
    <row r="37" spans="1:19" s="3" customFormat="1" ht="15.75" x14ac:dyDescent="0.25">
      <c r="A37" s="198" t="s">
        <v>245</v>
      </c>
      <c r="B37" s="198"/>
      <c r="C37" s="198"/>
      <c r="D37" s="198"/>
      <c r="E37" s="14"/>
      <c r="F37" s="14"/>
      <c r="G37" s="14"/>
      <c r="H37" s="14"/>
      <c r="I37" s="14"/>
      <c r="J37" s="161"/>
      <c r="K37" s="161"/>
      <c r="L37" s="161"/>
      <c r="M37" s="161"/>
      <c r="N37" s="161"/>
      <c r="O37" s="14"/>
      <c r="P37" s="14"/>
      <c r="Q37" s="14"/>
      <c r="R37" s="14"/>
      <c r="S37" s="14"/>
    </row>
    <row r="38" spans="1:19" s="3" customFormat="1" ht="15.75" x14ac:dyDescent="0.25">
      <c r="A38" s="198"/>
      <c r="B38" s="198" t="s">
        <v>99</v>
      </c>
      <c r="C38" s="198"/>
      <c r="D38" s="198"/>
      <c r="E38" s="14"/>
      <c r="F38" s="14"/>
      <c r="G38" s="14"/>
      <c r="H38" s="14"/>
      <c r="I38" s="14"/>
      <c r="J38" s="161"/>
      <c r="K38" s="161"/>
      <c r="L38" s="161"/>
      <c r="M38" s="161"/>
      <c r="N38" s="161"/>
      <c r="O38" s="14"/>
      <c r="P38" s="14"/>
      <c r="Q38" s="14"/>
      <c r="R38" s="14"/>
      <c r="S38" s="14"/>
    </row>
    <row r="39" spans="1:19" s="3" customFormat="1" ht="15.75" x14ac:dyDescent="0.25">
      <c r="A39" s="198"/>
      <c r="B39" s="198"/>
      <c r="C39" s="198" t="s">
        <v>246</v>
      </c>
      <c r="D39" s="198"/>
      <c r="E39" s="14"/>
      <c r="F39" s="14"/>
      <c r="G39" s="14"/>
      <c r="H39" s="14"/>
      <c r="I39" s="14"/>
      <c r="J39" s="161"/>
      <c r="K39" s="161"/>
      <c r="L39" s="161"/>
      <c r="M39" s="161"/>
      <c r="N39" s="161"/>
      <c r="O39" s="14"/>
      <c r="P39" s="14"/>
      <c r="Q39" s="14"/>
      <c r="R39" s="14"/>
      <c r="S39" s="14"/>
    </row>
    <row r="40" spans="1:19" ht="15.75" x14ac:dyDescent="0.25">
      <c r="A40" s="16"/>
      <c r="B40" s="16"/>
      <c r="C40" s="16"/>
      <c r="D40" s="198" t="s">
        <v>247</v>
      </c>
      <c r="E40" s="16"/>
      <c r="F40" s="16"/>
      <c r="G40" s="14"/>
      <c r="H40" s="14"/>
      <c r="I40" s="14"/>
      <c r="J40" s="161"/>
      <c r="K40" s="161"/>
      <c r="L40" s="161"/>
      <c r="M40" s="161"/>
      <c r="N40" s="161"/>
      <c r="O40" s="14"/>
      <c r="P40" s="14"/>
      <c r="Q40" s="14"/>
      <c r="R40" s="14"/>
      <c r="S40" s="14"/>
    </row>
    <row r="41" spans="1:19" x14ac:dyDescent="0.25">
      <c r="A41" s="14"/>
      <c r="B41" s="14"/>
      <c r="C41" s="14"/>
      <c r="D41" s="14"/>
      <c r="E41" s="14"/>
      <c r="F41" s="14"/>
      <c r="G41" s="14"/>
      <c r="H41" s="14"/>
      <c r="I41" s="14"/>
      <c r="J41" s="161"/>
      <c r="K41" s="161"/>
      <c r="L41" s="161"/>
      <c r="M41" s="161"/>
      <c r="N41" s="161"/>
      <c r="O41" s="14"/>
      <c r="P41" s="14"/>
      <c r="Q41" s="14"/>
      <c r="R41" s="14"/>
      <c r="S41" s="14"/>
    </row>
    <row r="45" spans="1:19" x14ac:dyDescent="0.25">
      <c r="D45" t="s">
        <v>57</v>
      </c>
    </row>
    <row r="98" spans="1:1" x14ac:dyDescent="0.25">
      <c r="A98" t="s">
        <v>424</v>
      </c>
    </row>
    <row r="99" spans="1:1" x14ac:dyDescent="0.25">
      <c r="A99" s="490" t="s">
        <v>428</v>
      </c>
    </row>
    <row r="112" spans="1:1" x14ac:dyDescent="0.25">
      <c r="A112" t="s">
        <v>425</v>
      </c>
    </row>
    <row r="113" spans="1:1" x14ac:dyDescent="0.25">
      <c r="A113" t="s">
        <v>426</v>
      </c>
    </row>
    <row r="115" spans="1:1" x14ac:dyDescent="0.25">
      <c r="A115" s="490" t="s">
        <v>427</v>
      </c>
    </row>
  </sheetData>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70"/>
  <sheetViews>
    <sheetView zoomScale="60" zoomScaleNormal="60" workbookViewId="0">
      <selection activeCell="M10" sqref="M10"/>
    </sheetView>
  </sheetViews>
  <sheetFormatPr defaultColWidth="8.85546875" defaultRowHeight="15.75" x14ac:dyDescent="0.25"/>
  <cols>
    <col min="1" max="1" width="54.85546875" style="8" customWidth="1"/>
    <col min="2" max="2" width="19.42578125" style="3" customWidth="1"/>
    <col min="3" max="3" width="15.140625" style="1" customWidth="1"/>
    <col min="4" max="15" width="11.85546875" style="4" customWidth="1"/>
    <col min="16" max="16384" width="8.85546875" style="8"/>
  </cols>
  <sheetData>
    <row r="1" spans="1:15" s="33" customFormat="1" ht="30.75" customHeight="1" x14ac:dyDescent="0.25">
      <c r="A1" s="63" t="str">
        <f>'Intro, Audits &amp; Log'!A1</f>
        <v>Business Model of 'Social Enterprise ABC' incl funding and accounting 10 years - Base Case</v>
      </c>
      <c r="B1" s="409"/>
      <c r="C1" s="32"/>
      <c r="D1" s="32"/>
      <c r="E1" s="32"/>
    </row>
    <row r="2" spans="1:15" s="34" customFormat="1" ht="36" x14ac:dyDescent="0.25">
      <c r="A2" s="47" t="s">
        <v>43</v>
      </c>
      <c r="B2" s="375" t="s">
        <v>57</v>
      </c>
      <c r="C2" s="7"/>
      <c r="D2" s="33"/>
      <c r="E2" s="33"/>
      <c r="F2" s="33"/>
      <c r="G2" s="33"/>
      <c r="H2" s="33"/>
      <c r="I2" s="33"/>
      <c r="J2" s="33"/>
      <c r="K2" s="33"/>
      <c r="L2" s="33"/>
      <c r="M2" s="33"/>
      <c r="N2" s="33"/>
      <c r="O2" s="33"/>
    </row>
    <row r="3" spans="1:15" x14ac:dyDescent="0.25">
      <c r="A3" s="35"/>
      <c r="D3" s="1"/>
      <c r="E3" s="1"/>
      <c r="F3" s="1"/>
      <c r="G3" s="1"/>
      <c r="H3" s="1"/>
      <c r="I3" s="1"/>
      <c r="J3" s="1"/>
      <c r="K3" s="1"/>
      <c r="L3" s="1"/>
      <c r="M3" s="1"/>
      <c r="N3" s="1"/>
      <c r="O3" s="1"/>
    </row>
    <row r="4" spans="1:15" ht="17.25" customHeight="1" x14ac:dyDescent="0.25">
      <c r="A4" s="9"/>
      <c r="C4" s="36"/>
    </row>
    <row r="5" spans="1:15" ht="17.25" customHeight="1" x14ac:dyDescent="0.25">
      <c r="A5" s="9"/>
      <c r="C5" s="36"/>
    </row>
    <row r="6" spans="1:15" ht="17.25" customHeight="1" x14ac:dyDescent="0.25">
      <c r="A6" s="9"/>
      <c r="C6" s="36"/>
    </row>
    <row r="7" spans="1:15" ht="17.25" customHeight="1" x14ac:dyDescent="0.25">
      <c r="A7" s="9"/>
      <c r="C7" s="36"/>
    </row>
    <row r="8" spans="1:15" ht="17.25" customHeight="1" x14ac:dyDescent="0.25">
      <c r="A8" s="9"/>
      <c r="C8" s="36"/>
    </row>
    <row r="9" spans="1:15" ht="17.25" customHeight="1" x14ac:dyDescent="0.25">
      <c r="A9" s="9"/>
      <c r="C9" s="36"/>
    </row>
    <row r="10" spans="1:15" ht="17.25" customHeight="1" x14ac:dyDescent="0.25">
      <c r="A10" s="9"/>
      <c r="C10" s="36"/>
    </row>
    <row r="11" spans="1:15" ht="17.25" customHeight="1" x14ac:dyDescent="0.25">
      <c r="A11" s="9"/>
      <c r="C11" s="36"/>
    </row>
    <row r="12" spans="1:15" ht="17.25" customHeight="1" x14ac:dyDescent="0.25">
      <c r="A12" s="9"/>
      <c r="C12" s="36"/>
    </row>
    <row r="13" spans="1:15" ht="17.25" customHeight="1" x14ac:dyDescent="0.25">
      <c r="A13" s="9"/>
      <c r="C13" s="36"/>
    </row>
    <row r="14" spans="1:15" ht="17.25" customHeight="1" x14ac:dyDescent="0.25">
      <c r="A14" s="9"/>
      <c r="C14" s="36"/>
    </row>
    <row r="15" spans="1:15" ht="17.25" customHeight="1" x14ac:dyDescent="0.25">
      <c r="A15" s="9"/>
      <c r="C15" s="36"/>
    </row>
    <row r="16" spans="1:15" ht="17.25" customHeight="1" x14ac:dyDescent="0.25">
      <c r="A16" s="9"/>
      <c r="C16" s="36"/>
    </row>
    <row r="17" spans="1:21" ht="17.25" customHeight="1" x14ac:dyDescent="0.25">
      <c r="A17" s="9"/>
      <c r="C17" s="36"/>
    </row>
    <row r="18" spans="1:21" ht="17.25" customHeight="1" x14ac:dyDescent="0.25">
      <c r="A18" s="9"/>
      <c r="C18" s="36"/>
    </row>
    <row r="19" spans="1:21" ht="17.25" customHeight="1" x14ac:dyDescent="0.25">
      <c r="A19" s="9"/>
      <c r="C19" s="36"/>
    </row>
    <row r="20" spans="1:21" ht="17.25" customHeight="1" x14ac:dyDescent="0.25">
      <c r="A20" s="9"/>
      <c r="C20" s="36"/>
    </row>
    <row r="21" spans="1:21" ht="17.25" customHeight="1" x14ac:dyDescent="0.25">
      <c r="A21" s="9"/>
      <c r="C21" s="36"/>
      <c r="R21" s="4"/>
      <c r="T21" s="4"/>
      <c r="U21" s="37"/>
    </row>
    <row r="22" spans="1:21" ht="17.25" customHeight="1" x14ac:dyDescent="0.25">
      <c r="A22" s="9"/>
      <c r="C22" s="36"/>
      <c r="R22" s="4"/>
      <c r="T22" s="4"/>
      <c r="U22" s="37"/>
    </row>
    <row r="23" spans="1:21" ht="17.25" customHeight="1" x14ac:dyDescent="0.25">
      <c r="A23" s="9"/>
      <c r="C23" s="36"/>
      <c r="R23" s="4"/>
      <c r="T23" s="4"/>
      <c r="U23" s="37"/>
    </row>
    <row r="24" spans="1:21" ht="17.25" customHeight="1" x14ac:dyDescent="0.25">
      <c r="A24" s="9"/>
      <c r="C24" s="36"/>
      <c r="R24" s="4"/>
      <c r="T24" s="4"/>
      <c r="U24" s="37"/>
    </row>
    <row r="25" spans="1:21" ht="17.25" customHeight="1" x14ac:dyDescent="0.25">
      <c r="A25" s="9"/>
      <c r="C25" s="36"/>
      <c r="R25" s="4"/>
      <c r="T25" s="4"/>
      <c r="U25" s="37"/>
    </row>
    <row r="26" spans="1:21" ht="17.25" customHeight="1" x14ac:dyDescent="0.25">
      <c r="A26" s="9"/>
      <c r="C26" s="36"/>
      <c r="R26" s="4"/>
      <c r="T26" s="4"/>
      <c r="U26" s="37"/>
    </row>
    <row r="27" spans="1:21" ht="17.25" customHeight="1" x14ac:dyDescent="0.25">
      <c r="A27" s="9"/>
      <c r="C27" s="36"/>
      <c r="R27" s="4"/>
      <c r="T27" s="4"/>
      <c r="U27" s="37"/>
    </row>
    <row r="28" spans="1:21" ht="17.25" customHeight="1" x14ac:dyDescent="0.25">
      <c r="A28" s="9"/>
      <c r="C28" s="36"/>
      <c r="R28" s="4"/>
      <c r="T28" s="4"/>
      <c r="U28" s="37"/>
    </row>
    <row r="29" spans="1:21" ht="17.25" customHeight="1" x14ac:dyDescent="0.25">
      <c r="A29" s="9"/>
      <c r="C29" s="36"/>
      <c r="R29" s="4"/>
      <c r="T29" s="4"/>
      <c r="U29" s="37"/>
    </row>
    <row r="30" spans="1:21" ht="17.25" customHeight="1" x14ac:dyDescent="0.25">
      <c r="A30" s="9"/>
      <c r="C30" s="36"/>
    </row>
    <row r="31" spans="1:21" ht="17.25" customHeight="1" x14ac:dyDescent="0.25">
      <c r="A31" s="9"/>
      <c r="C31" s="36"/>
    </row>
    <row r="32" spans="1:21" ht="17.25" customHeight="1" x14ac:dyDescent="0.25">
      <c r="A32" s="9"/>
      <c r="C32" s="36"/>
    </row>
    <row r="33" spans="1:3" ht="17.25" customHeight="1" x14ac:dyDescent="0.25">
      <c r="A33" s="9"/>
      <c r="C33" s="36"/>
    </row>
    <row r="34" spans="1:3" ht="17.25" customHeight="1" x14ac:dyDescent="0.25">
      <c r="A34" s="9"/>
      <c r="C34" s="36"/>
    </row>
    <row r="35" spans="1:3" ht="17.25" customHeight="1" x14ac:dyDescent="0.25">
      <c r="A35" s="9"/>
      <c r="C35" s="36"/>
    </row>
    <row r="36" spans="1:3" ht="17.25" customHeight="1" x14ac:dyDescent="0.25">
      <c r="A36" s="9"/>
      <c r="C36" s="36"/>
    </row>
    <row r="37" spans="1:3" ht="17.25" customHeight="1" x14ac:dyDescent="0.25">
      <c r="A37" s="9"/>
      <c r="C37" s="36"/>
    </row>
    <row r="38" spans="1:3" ht="17.25" customHeight="1" x14ac:dyDescent="0.25">
      <c r="A38" s="9"/>
      <c r="C38" s="36"/>
    </row>
    <row r="39" spans="1:3" ht="17.25" customHeight="1" x14ac:dyDescent="0.25">
      <c r="A39" s="9"/>
      <c r="C39" s="36"/>
    </row>
    <row r="40" spans="1:3" ht="17.25" customHeight="1" x14ac:dyDescent="0.25">
      <c r="A40" s="9"/>
      <c r="C40" s="36"/>
    </row>
    <row r="41" spans="1:3" ht="17.25" customHeight="1" x14ac:dyDescent="0.25">
      <c r="A41" s="9"/>
      <c r="C41" s="36"/>
    </row>
    <row r="42" spans="1:3" ht="17.25" customHeight="1" x14ac:dyDescent="0.25">
      <c r="A42" s="9"/>
      <c r="C42" s="36"/>
    </row>
    <row r="43" spans="1:3" ht="17.25" customHeight="1" x14ac:dyDescent="0.25">
      <c r="A43" s="9"/>
      <c r="C43" s="36"/>
    </row>
    <row r="44" spans="1:3" ht="17.25" customHeight="1" x14ac:dyDescent="0.25">
      <c r="A44" s="9"/>
      <c r="C44" s="36"/>
    </row>
    <row r="45" spans="1:3" ht="17.25" customHeight="1" x14ac:dyDescent="0.25">
      <c r="A45" s="9"/>
      <c r="C45" s="36"/>
    </row>
    <row r="46" spans="1:3" ht="17.25" customHeight="1" x14ac:dyDescent="0.25">
      <c r="A46" s="9"/>
      <c r="C46" s="36"/>
    </row>
    <row r="47" spans="1:3" ht="17.25" customHeight="1" x14ac:dyDescent="0.25">
      <c r="A47" s="9"/>
      <c r="C47" s="36"/>
    </row>
    <row r="48" spans="1:3" ht="17.25" customHeight="1" x14ac:dyDescent="0.25">
      <c r="A48" s="9"/>
      <c r="C48" s="36"/>
    </row>
    <row r="49" spans="1:16" ht="17.25" customHeight="1" x14ac:dyDescent="0.25">
      <c r="A49" s="9"/>
      <c r="C49" s="36"/>
    </row>
    <row r="50" spans="1:16" ht="29.25" customHeight="1" x14ac:dyDescent="0.25">
      <c r="A50" s="9"/>
      <c r="C50" s="36"/>
    </row>
    <row r="51" spans="1:16" ht="17.25" customHeight="1" x14ac:dyDescent="0.25">
      <c r="A51" s="9"/>
      <c r="C51" s="36"/>
    </row>
    <row r="52" spans="1:16" s="83" customFormat="1" ht="23.25" x14ac:dyDescent="0.25">
      <c r="A52" s="252" t="s">
        <v>20</v>
      </c>
      <c r="B52" s="410" t="s">
        <v>3</v>
      </c>
      <c r="C52" s="253" t="s">
        <v>4</v>
      </c>
      <c r="D52" s="254">
        <v>2019</v>
      </c>
      <c r="E52" s="254">
        <f>D52+1</f>
        <v>2020</v>
      </c>
      <c r="F52" s="254">
        <f t="shared" ref="F52:L52" si="0">E52+1</f>
        <v>2021</v>
      </c>
      <c r="G52" s="254">
        <f t="shared" si="0"/>
        <v>2022</v>
      </c>
      <c r="H52" s="254">
        <f t="shared" si="0"/>
        <v>2023</v>
      </c>
      <c r="I52" s="254">
        <f t="shared" si="0"/>
        <v>2024</v>
      </c>
      <c r="J52" s="254">
        <f t="shared" si="0"/>
        <v>2025</v>
      </c>
      <c r="K52" s="254">
        <f t="shared" si="0"/>
        <v>2026</v>
      </c>
      <c r="L52" s="254">
        <f t="shared" si="0"/>
        <v>2027</v>
      </c>
      <c r="M52" s="254">
        <f t="shared" ref="M52" si="1">L52+1</f>
        <v>2028</v>
      </c>
      <c r="N52" s="254">
        <f t="shared" ref="N52" si="2">M52+1</f>
        <v>2029</v>
      </c>
      <c r="O52" s="254">
        <f t="shared" ref="O52" si="3">N52+1</f>
        <v>2030</v>
      </c>
    </row>
    <row r="53" spans="1:16" s="34" customFormat="1" ht="53.25" customHeight="1" x14ac:dyDescent="0.25">
      <c r="A53" s="28" t="s">
        <v>22</v>
      </c>
      <c r="B53" s="375"/>
      <c r="C53" s="7"/>
      <c r="D53" s="7"/>
      <c r="E53" s="7"/>
      <c r="F53" s="7"/>
      <c r="G53" s="7"/>
      <c r="H53" s="7"/>
      <c r="I53" s="7"/>
      <c r="J53" s="7"/>
      <c r="K53" s="7"/>
      <c r="L53" s="7"/>
      <c r="M53" s="7"/>
      <c r="N53" s="7"/>
      <c r="O53" s="7"/>
    </row>
    <row r="54" spans="1:16" s="46" customFormat="1" ht="45" customHeight="1" x14ac:dyDescent="0.25">
      <c r="A54" s="28" t="s">
        <v>232</v>
      </c>
      <c r="B54" s="375"/>
      <c r="C54" s="62"/>
      <c r="D54" s="74"/>
      <c r="E54" s="74"/>
      <c r="F54" s="74"/>
      <c r="G54" s="74"/>
      <c r="H54" s="74"/>
      <c r="I54" s="74"/>
      <c r="J54" s="74"/>
      <c r="K54" s="74"/>
      <c r="L54" s="74"/>
      <c r="M54" s="74"/>
      <c r="N54" s="74"/>
      <c r="O54" s="74"/>
    </row>
    <row r="55" spans="1:16" ht="28.7" customHeight="1" x14ac:dyDescent="0.25">
      <c r="A55" s="107" t="s">
        <v>108</v>
      </c>
      <c r="C55" s="39"/>
      <c r="D55" s="39"/>
      <c r="E55" s="39"/>
      <c r="F55" s="39"/>
      <c r="G55" s="39"/>
      <c r="H55" s="39"/>
      <c r="I55" s="39"/>
      <c r="J55" s="39"/>
      <c r="K55" s="39"/>
      <c r="L55" s="39"/>
      <c r="M55" s="39"/>
      <c r="N55" s="39"/>
      <c r="O55" s="39"/>
    </row>
    <row r="56" spans="1:16" x14ac:dyDescent="0.25">
      <c r="A56" s="43" t="s">
        <v>233</v>
      </c>
      <c r="D56" s="1"/>
      <c r="E56" s="1"/>
      <c r="F56" s="1"/>
      <c r="G56" s="1"/>
      <c r="H56" s="1"/>
      <c r="I56" s="1"/>
      <c r="J56" s="1"/>
      <c r="K56" s="1"/>
      <c r="L56" s="1"/>
      <c r="M56" s="1"/>
      <c r="N56" s="1"/>
      <c r="O56" s="1"/>
    </row>
    <row r="57" spans="1:16" x14ac:dyDescent="0.25">
      <c r="A57" s="43" t="s">
        <v>319</v>
      </c>
      <c r="D57" s="1"/>
      <c r="E57" s="1"/>
      <c r="F57" s="1"/>
      <c r="G57" s="1"/>
      <c r="H57" s="1"/>
      <c r="I57" s="1"/>
      <c r="J57" s="1"/>
      <c r="K57" s="1"/>
      <c r="L57" s="1"/>
      <c r="M57" s="1"/>
      <c r="N57" s="1"/>
      <c r="O57" s="1"/>
    </row>
    <row r="58" spans="1:16" x14ac:dyDescent="0.25">
      <c r="A58" s="255" t="s">
        <v>229</v>
      </c>
      <c r="B58" s="411" t="s">
        <v>228</v>
      </c>
      <c r="C58" s="257"/>
      <c r="D58" s="258"/>
      <c r="E58" s="258">
        <v>0.05</v>
      </c>
      <c r="F58" s="258">
        <v>0.1</v>
      </c>
      <c r="G58" s="258">
        <v>0.2</v>
      </c>
      <c r="H58" s="258">
        <v>0.3</v>
      </c>
      <c r="I58" s="258">
        <f>H58</f>
        <v>0.3</v>
      </c>
      <c r="J58" s="258">
        <v>0.15</v>
      </c>
      <c r="K58" s="258">
        <v>0.03</v>
      </c>
      <c r="L58" s="258">
        <f t="shared" ref="L58" si="4">K58</f>
        <v>0.03</v>
      </c>
      <c r="M58" s="258">
        <f t="shared" ref="M58" si="5">L58</f>
        <v>0.03</v>
      </c>
      <c r="N58" s="258"/>
      <c r="O58" s="259"/>
      <c r="P58" s="195"/>
    </row>
    <row r="59" spans="1:16" x14ac:dyDescent="0.25">
      <c r="A59" s="255" t="s">
        <v>230</v>
      </c>
      <c r="B59" s="411" t="s">
        <v>228</v>
      </c>
      <c r="C59" s="257"/>
      <c r="D59" s="258"/>
      <c r="E59" s="258">
        <v>0.05</v>
      </c>
      <c r="F59" s="258">
        <v>0.1</v>
      </c>
      <c r="G59" s="258">
        <v>0.2</v>
      </c>
      <c r="H59" s="258">
        <f t="shared" ref="H59:H60" si="6">G59</f>
        <v>0.2</v>
      </c>
      <c r="I59" s="258">
        <f t="shared" ref="I59:I60" si="7">H59</f>
        <v>0.2</v>
      </c>
      <c r="J59" s="258">
        <v>0.1</v>
      </c>
      <c r="K59" s="258">
        <v>0.03</v>
      </c>
      <c r="L59" s="258">
        <f t="shared" ref="L59:M59" si="8">K59</f>
        <v>0.03</v>
      </c>
      <c r="M59" s="258">
        <f t="shared" si="8"/>
        <v>0.03</v>
      </c>
      <c r="N59" s="258"/>
      <c r="O59" s="259"/>
    </row>
    <row r="60" spans="1:16" x14ac:dyDescent="0.25">
      <c r="A60" s="255" t="s">
        <v>231</v>
      </c>
      <c r="B60" s="411" t="s">
        <v>228</v>
      </c>
      <c r="C60" s="257"/>
      <c r="D60" s="258"/>
      <c r="E60" s="258">
        <v>0.1</v>
      </c>
      <c r="F60" s="258">
        <f>E60</f>
        <v>0.1</v>
      </c>
      <c r="G60" s="258">
        <f t="shared" ref="G60" si="9">F60</f>
        <v>0.1</v>
      </c>
      <c r="H60" s="258">
        <f t="shared" si="6"/>
        <v>0.1</v>
      </c>
      <c r="I60" s="258">
        <f t="shared" si="7"/>
        <v>0.1</v>
      </c>
      <c r="J60" s="258">
        <v>0.05</v>
      </c>
      <c r="K60" s="258">
        <v>0.03</v>
      </c>
      <c r="L60" s="258">
        <f t="shared" ref="L60:M60" si="10">K60</f>
        <v>0.03</v>
      </c>
      <c r="M60" s="258">
        <f t="shared" si="10"/>
        <v>0.03</v>
      </c>
      <c r="N60" s="258"/>
      <c r="O60" s="259"/>
    </row>
    <row r="61" spans="1:16" ht="28.7" customHeight="1" x14ac:dyDescent="0.25">
      <c r="A61" s="107" t="s">
        <v>109</v>
      </c>
      <c r="C61" s="39"/>
      <c r="D61" s="39"/>
      <c r="E61" s="39"/>
      <c r="F61" s="39"/>
      <c r="G61" s="39"/>
      <c r="H61" s="39"/>
      <c r="I61" s="39"/>
      <c r="J61" s="39"/>
      <c r="K61" s="39"/>
      <c r="L61" s="39"/>
      <c r="M61" s="39"/>
      <c r="N61" s="39"/>
      <c r="O61" s="39"/>
    </row>
    <row r="62" spans="1:16" x14ac:dyDescent="0.25">
      <c r="A62" s="82" t="s">
        <v>102</v>
      </c>
      <c r="B62" s="3" t="s">
        <v>3</v>
      </c>
      <c r="C62" s="39">
        <f>SUM(D62:O62)</f>
        <v>400090.76794514002</v>
      </c>
      <c r="D62" s="260">
        <v>20000</v>
      </c>
      <c r="E62" s="73">
        <f>D62*(1+E58)</f>
        <v>21000</v>
      </c>
      <c r="F62" s="73">
        <f t="shared" ref="F62:M62" si="11">E62*(1+F58)</f>
        <v>23100.000000000004</v>
      </c>
      <c r="G62" s="73">
        <f t="shared" si="11"/>
        <v>27720.000000000004</v>
      </c>
      <c r="H62" s="73">
        <f t="shared" si="11"/>
        <v>36036.000000000007</v>
      </c>
      <c r="I62" s="73">
        <f t="shared" si="11"/>
        <v>46846.80000000001</v>
      </c>
      <c r="J62" s="73">
        <f t="shared" si="11"/>
        <v>53873.820000000007</v>
      </c>
      <c r="K62" s="73">
        <f t="shared" si="11"/>
        <v>55490.034600000006</v>
      </c>
      <c r="L62" s="73">
        <f t="shared" si="11"/>
        <v>57154.735638000006</v>
      </c>
      <c r="M62" s="73">
        <f t="shared" si="11"/>
        <v>58869.377707140004</v>
      </c>
      <c r="N62" s="73"/>
      <c r="O62" s="73"/>
    </row>
    <row r="63" spans="1:16" x14ac:dyDescent="0.25">
      <c r="A63" s="82" t="s">
        <v>104</v>
      </c>
      <c r="B63" s="3" t="s">
        <v>3</v>
      </c>
      <c r="C63" s="39">
        <f t="shared" ref="C63:C65" si="12">SUM(D63:O63)</f>
        <v>261523.12684272003</v>
      </c>
      <c r="D63" s="260">
        <v>15000</v>
      </c>
      <c r="E63" s="73">
        <f t="shared" ref="E63:M64" si="13">D63*(1+E59)</f>
        <v>15750</v>
      </c>
      <c r="F63" s="73">
        <f t="shared" si="13"/>
        <v>17325</v>
      </c>
      <c r="G63" s="73">
        <f t="shared" si="13"/>
        <v>20790</v>
      </c>
      <c r="H63" s="73">
        <f t="shared" si="13"/>
        <v>24948</v>
      </c>
      <c r="I63" s="73">
        <f>H63*(1+I59)</f>
        <v>29937.599999999999</v>
      </c>
      <c r="J63" s="73">
        <f t="shared" si="13"/>
        <v>32931.360000000001</v>
      </c>
      <c r="K63" s="73">
        <f t="shared" si="13"/>
        <v>33919.300800000005</v>
      </c>
      <c r="L63" s="73">
        <f t="shared" si="13"/>
        <v>34936.879824000003</v>
      </c>
      <c r="M63" s="73">
        <f t="shared" si="13"/>
        <v>35984.986218720005</v>
      </c>
      <c r="N63" s="73"/>
      <c r="O63" s="73"/>
    </row>
    <row r="64" spans="1:16" x14ac:dyDescent="0.25">
      <c r="A64" s="82" t="s">
        <v>106</v>
      </c>
      <c r="B64" s="3" t="s">
        <v>3</v>
      </c>
      <c r="C64" s="39">
        <f t="shared" si="12"/>
        <v>73951.358878792526</v>
      </c>
      <c r="D64" s="260">
        <v>5000</v>
      </c>
      <c r="E64" s="73">
        <f t="shared" si="13"/>
        <v>5500</v>
      </c>
      <c r="F64" s="73">
        <f t="shared" si="13"/>
        <v>6050.0000000000009</v>
      </c>
      <c r="G64" s="73">
        <f t="shared" si="13"/>
        <v>6655.0000000000018</v>
      </c>
      <c r="H64" s="73">
        <f t="shared" si="13"/>
        <v>7320.5000000000027</v>
      </c>
      <c r="I64" s="73">
        <f t="shared" si="13"/>
        <v>8052.5500000000038</v>
      </c>
      <c r="J64" s="73">
        <f t="shared" si="13"/>
        <v>8455.1775000000052</v>
      </c>
      <c r="K64" s="73">
        <f t="shared" si="13"/>
        <v>8708.832825000005</v>
      </c>
      <c r="L64" s="73">
        <f t="shared" si="13"/>
        <v>8970.0978097500047</v>
      </c>
      <c r="M64" s="73">
        <f t="shared" si="13"/>
        <v>9239.2007440425059</v>
      </c>
      <c r="N64" s="73"/>
      <c r="O64" s="73"/>
    </row>
    <row r="65" spans="1:15" s="108" customFormat="1" ht="21" x14ac:dyDescent="0.35">
      <c r="A65" s="67" t="s">
        <v>100</v>
      </c>
      <c r="B65" s="3" t="s">
        <v>3</v>
      </c>
      <c r="C65" s="68">
        <f t="shared" si="12"/>
        <v>735565.2536666526</v>
      </c>
      <c r="D65" s="68">
        <f>SUM(D62:D64)</f>
        <v>40000</v>
      </c>
      <c r="E65" s="68">
        <f t="shared" ref="E65:L65" si="14">SUM(E62:E64)</f>
        <v>42250</v>
      </c>
      <c r="F65" s="68">
        <f t="shared" si="14"/>
        <v>46475</v>
      </c>
      <c r="G65" s="68">
        <f t="shared" si="14"/>
        <v>55165</v>
      </c>
      <c r="H65" s="68">
        <f t="shared" si="14"/>
        <v>68304.500000000015</v>
      </c>
      <c r="I65" s="68">
        <f>SUM(I62:I64)</f>
        <v>84836.950000000012</v>
      </c>
      <c r="J65" s="68">
        <f t="shared" si="14"/>
        <v>95260.357500000013</v>
      </c>
      <c r="K65" s="68">
        <f t="shared" si="14"/>
        <v>98118.168225000016</v>
      </c>
      <c r="L65" s="68">
        <f t="shared" si="14"/>
        <v>101061.71327175002</v>
      </c>
      <c r="M65" s="68">
        <f t="shared" ref="M65" si="15">SUM(M62:M64)</f>
        <v>104093.56466990251</v>
      </c>
      <c r="N65" s="68"/>
      <c r="O65" s="68">
        <f t="shared" ref="O65" si="16">SUM(O62:O64)</f>
        <v>0</v>
      </c>
    </row>
    <row r="66" spans="1:15" ht="28.7" customHeight="1" x14ac:dyDescent="0.25">
      <c r="A66" s="107" t="s">
        <v>50</v>
      </c>
      <c r="C66" s="39"/>
      <c r="D66" s="39"/>
      <c r="E66" s="39"/>
      <c r="F66" s="39"/>
      <c r="G66" s="39"/>
      <c r="H66" s="39"/>
      <c r="I66" s="39"/>
      <c r="J66" s="39"/>
      <c r="K66" s="39"/>
      <c r="L66" s="39"/>
      <c r="M66" s="39"/>
      <c r="N66" s="39"/>
      <c r="O66" s="39"/>
    </row>
    <row r="67" spans="1:15" s="198" customFormat="1" x14ac:dyDescent="0.25">
      <c r="A67" s="218" t="s">
        <v>110</v>
      </c>
      <c r="B67" s="3" t="s">
        <v>3</v>
      </c>
      <c r="C67" s="206"/>
      <c r="D67" s="239">
        <f>D65/MAX($D65:$O65)</f>
        <v>0.38426967245138022</v>
      </c>
      <c r="E67" s="239">
        <f t="shared" ref="E67:N67" si="17">E65/MAX($D65:$O65)</f>
        <v>0.40588484152677035</v>
      </c>
      <c r="F67" s="239">
        <f t="shared" si="17"/>
        <v>0.44647332567944736</v>
      </c>
      <c r="G67" s="239">
        <f t="shared" si="17"/>
        <v>0.52995591201950976</v>
      </c>
      <c r="H67" s="239">
        <f t="shared" si="17"/>
        <v>0.6561836960488826</v>
      </c>
      <c r="I67" s="239">
        <f t="shared" si="17"/>
        <v>0.81500667470685306</v>
      </c>
      <c r="J67" s="239">
        <f t="shared" si="17"/>
        <v>0.91514165935315961</v>
      </c>
      <c r="K67" s="239">
        <f t="shared" si="17"/>
        <v>0.94259590913375446</v>
      </c>
      <c r="L67" s="239">
        <f t="shared" si="17"/>
        <v>0.97087378640776711</v>
      </c>
      <c r="M67" s="239">
        <f t="shared" si="17"/>
        <v>1</v>
      </c>
      <c r="N67" s="239">
        <f t="shared" si="17"/>
        <v>0</v>
      </c>
      <c r="O67" s="239">
        <f t="shared" ref="O67" si="18">O65/MAX($D65:$O65)</f>
        <v>0</v>
      </c>
    </row>
    <row r="68" spans="1:15" s="105" customFormat="1" ht="24.75" customHeight="1" x14ac:dyDescent="0.3">
      <c r="A68" s="204"/>
      <c r="B68" s="3"/>
      <c r="C68" s="104"/>
      <c r="D68" s="205"/>
      <c r="E68" s="205"/>
      <c r="F68" s="205"/>
      <c r="G68" s="205"/>
      <c r="H68" s="205"/>
      <c r="I68" s="205"/>
      <c r="J68" s="205"/>
      <c r="K68" s="205"/>
      <c r="L68" s="205"/>
      <c r="M68" s="205"/>
      <c r="N68" s="205"/>
      <c r="O68" s="205"/>
    </row>
    <row r="69" spans="1:15" s="46" customFormat="1" ht="45" customHeight="1" x14ac:dyDescent="0.25">
      <c r="A69" s="28" t="s">
        <v>216</v>
      </c>
      <c r="B69" s="375"/>
      <c r="C69" s="62"/>
      <c r="D69" s="74"/>
      <c r="E69" s="74"/>
      <c r="F69" s="74"/>
      <c r="G69" s="74"/>
      <c r="H69" s="74"/>
      <c r="I69" s="74"/>
      <c r="J69" s="74"/>
      <c r="K69" s="74"/>
      <c r="L69" s="74"/>
      <c r="M69" s="74"/>
      <c r="N69" s="74"/>
      <c r="O69" s="74"/>
    </row>
    <row r="70" spans="1:15" ht="28.7" customHeight="1" x14ac:dyDescent="0.25">
      <c r="A70" s="107" t="s">
        <v>111</v>
      </c>
      <c r="C70" s="39"/>
      <c r="D70" s="39"/>
      <c r="E70" s="39"/>
      <c r="F70" s="39"/>
      <c r="G70" s="39"/>
      <c r="H70" s="39"/>
      <c r="I70" s="39"/>
      <c r="J70" s="39"/>
      <c r="K70" s="39"/>
      <c r="L70" s="39"/>
      <c r="M70" s="39"/>
      <c r="N70" s="39"/>
      <c r="O70" s="39"/>
    </row>
    <row r="71" spans="1:15" x14ac:dyDescent="0.25">
      <c r="A71" s="43" t="s">
        <v>318</v>
      </c>
      <c r="D71" s="1"/>
      <c r="E71" s="1"/>
      <c r="F71" s="1"/>
      <c r="G71" s="1"/>
      <c r="H71" s="1"/>
      <c r="I71" s="1"/>
      <c r="J71" s="1"/>
      <c r="K71" s="1"/>
      <c r="L71" s="1"/>
      <c r="M71" s="1"/>
      <c r="N71" s="1"/>
      <c r="O71" s="1"/>
    </row>
    <row r="72" spans="1:15" x14ac:dyDescent="0.25">
      <c r="A72" s="255" t="s">
        <v>112</v>
      </c>
      <c r="B72" s="411" t="s">
        <v>115</v>
      </c>
      <c r="C72" s="257"/>
      <c r="D72" s="258"/>
      <c r="E72" s="258">
        <v>0.02</v>
      </c>
      <c r="F72" s="258">
        <f>E72</f>
        <v>0.02</v>
      </c>
      <c r="G72" s="258">
        <f>F72</f>
        <v>0.02</v>
      </c>
      <c r="H72" s="258">
        <f t="shared" ref="H72:O72" si="19">G72</f>
        <v>0.02</v>
      </c>
      <c r="I72" s="258">
        <f t="shared" si="19"/>
        <v>0.02</v>
      </c>
      <c r="J72" s="258">
        <f t="shared" si="19"/>
        <v>0.02</v>
      </c>
      <c r="K72" s="258">
        <f t="shared" si="19"/>
        <v>0.02</v>
      </c>
      <c r="L72" s="258">
        <f t="shared" si="19"/>
        <v>0.02</v>
      </c>
      <c r="M72" s="258">
        <f t="shared" si="19"/>
        <v>0.02</v>
      </c>
      <c r="N72" s="258">
        <f t="shared" si="19"/>
        <v>0.02</v>
      </c>
      <c r="O72" s="258">
        <f t="shared" si="19"/>
        <v>0.02</v>
      </c>
    </row>
    <row r="73" spans="1:15" x14ac:dyDescent="0.25">
      <c r="A73" s="255" t="s">
        <v>113</v>
      </c>
      <c r="B73" s="411" t="s">
        <v>115</v>
      </c>
      <c r="C73" s="257"/>
      <c r="D73" s="258"/>
      <c r="E73" s="258">
        <v>0.02</v>
      </c>
      <c r="F73" s="258">
        <f t="shared" ref="F73:O74" si="20">E73</f>
        <v>0.02</v>
      </c>
      <c r="G73" s="258">
        <f t="shared" si="20"/>
        <v>0.02</v>
      </c>
      <c r="H73" s="258">
        <f t="shared" si="20"/>
        <v>0.02</v>
      </c>
      <c r="I73" s="258">
        <f t="shared" si="20"/>
        <v>0.02</v>
      </c>
      <c r="J73" s="258">
        <f t="shared" si="20"/>
        <v>0.02</v>
      </c>
      <c r="K73" s="258">
        <f t="shared" si="20"/>
        <v>0.02</v>
      </c>
      <c r="L73" s="258">
        <f t="shared" si="20"/>
        <v>0.02</v>
      </c>
      <c r="M73" s="258">
        <f t="shared" si="20"/>
        <v>0.02</v>
      </c>
      <c r="N73" s="258">
        <f t="shared" si="20"/>
        <v>0.02</v>
      </c>
      <c r="O73" s="258">
        <f t="shared" si="20"/>
        <v>0.02</v>
      </c>
    </row>
    <row r="74" spans="1:15" x14ac:dyDescent="0.25">
      <c r="A74" s="255" t="s">
        <v>114</v>
      </c>
      <c r="B74" s="411" t="s">
        <v>115</v>
      </c>
      <c r="C74" s="257"/>
      <c r="D74" s="258"/>
      <c r="E74" s="258">
        <v>0.02</v>
      </c>
      <c r="F74" s="258">
        <f t="shared" si="20"/>
        <v>0.02</v>
      </c>
      <c r="G74" s="258">
        <f t="shared" si="20"/>
        <v>0.02</v>
      </c>
      <c r="H74" s="258">
        <f t="shared" si="20"/>
        <v>0.02</v>
      </c>
      <c r="I74" s="258">
        <f t="shared" si="20"/>
        <v>0.02</v>
      </c>
      <c r="J74" s="258">
        <f t="shared" si="20"/>
        <v>0.02</v>
      </c>
      <c r="K74" s="258">
        <f t="shared" si="20"/>
        <v>0.02</v>
      </c>
      <c r="L74" s="258">
        <f t="shared" si="20"/>
        <v>0.02</v>
      </c>
      <c r="M74" s="258">
        <f t="shared" si="20"/>
        <v>0.02</v>
      </c>
      <c r="N74" s="258">
        <f t="shared" si="20"/>
        <v>0.02</v>
      </c>
      <c r="O74" s="258">
        <f t="shared" si="20"/>
        <v>0.02</v>
      </c>
    </row>
    <row r="75" spans="1:15" x14ac:dyDescent="0.25">
      <c r="A75" s="17"/>
      <c r="C75" s="40"/>
      <c r="D75" s="40"/>
      <c r="E75" s="40"/>
      <c r="F75" s="40"/>
      <c r="G75" s="40"/>
      <c r="H75" s="40"/>
      <c r="I75" s="40"/>
      <c r="J75" s="40"/>
      <c r="K75" s="40"/>
      <c r="L75" s="40"/>
      <c r="M75" s="40"/>
      <c r="N75" s="40"/>
      <c r="O75" s="40"/>
    </row>
    <row r="76" spans="1:15" x14ac:dyDescent="0.25">
      <c r="A76" s="208" t="s">
        <v>181</v>
      </c>
      <c r="B76" s="3" t="s">
        <v>320</v>
      </c>
      <c r="C76" s="39"/>
      <c r="D76" s="260">
        <v>38</v>
      </c>
      <c r="E76" s="40">
        <f>D76*(1-E72)</f>
        <v>37.24</v>
      </c>
      <c r="F76" s="40">
        <f t="shared" ref="F76:O76" si="21">E76*(1-F72)</f>
        <v>36.495200000000004</v>
      </c>
      <c r="G76" s="40">
        <f t="shared" si="21"/>
        <v>35.765296000000006</v>
      </c>
      <c r="H76" s="40">
        <f t="shared" si="21"/>
        <v>35.049990080000008</v>
      </c>
      <c r="I76" s="40">
        <f t="shared" si="21"/>
        <v>34.348990278400009</v>
      </c>
      <c r="J76" s="40">
        <f t="shared" si="21"/>
        <v>33.662010472832009</v>
      </c>
      <c r="K76" s="40">
        <f t="shared" si="21"/>
        <v>32.988770263375365</v>
      </c>
      <c r="L76" s="40">
        <f t="shared" si="21"/>
        <v>32.328994858107855</v>
      </c>
      <c r="M76" s="40">
        <f t="shared" si="21"/>
        <v>31.682414960945696</v>
      </c>
      <c r="N76" s="40">
        <f t="shared" si="21"/>
        <v>31.048766661726781</v>
      </c>
      <c r="O76" s="40">
        <f t="shared" si="21"/>
        <v>30.427791328492244</v>
      </c>
    </row>
    <row r="77" spans="1:15" x14ac:dyDescent="0.25">
      <c r="A77" s="208" t="s">
        <v>182</v>
      </c>
      <c r="B77" s="3" t="s">
        <v>320</v>
      </c>
      <c r="C77" s="39"/>
      <c r="D77" s="260">
        <v>48</v>
      </c>
      <c r="E77" s="40">
        <f t="shared" ref="E77:O78" si="22">D77*(1-E73)</f>
        <v>47.04</v>
      </c>
      <c r="F77" s="40">
        <f t="shared" si="22"/>
        <v>46.099199999999996</v>
      </c>
      <c r="G77" s="40">
        <f t="shared" si="22"/>
        <v>45.177215999999994</v>
      </c>
      <c r="H77" s="40">
        <f t="shared" si="22"/>
        <v>44.273671679999993</v>
      </c>
      <c r="I77" s="40">
        <f t="shared" si="22"/>
        <v>43.388198246399995</v>
      </c>
      <c r="J77" s="40">
        <f t="shared" si="22"/>
        <v>42.520434281471992</v>
      </c>
      <c r="K77" s="40">
        <f t="shared" si="22"/>
        <v>41.670025595842553</v>
      </c>
      <c r="L77" s="40">
        <f t="shared" si="22"/>
        <v>40.836625083925703</v>
      </c>
      <c r="M77" s="40">
        <f t="shared" si="22"/>
        <v>40.019892582247188</v>
      </c>
      <c r="N77" s="40">
        <f t="shared" si="22"/>
        <v>39.219494730602243</v>
      </c>
      <c r="O77" s="40">
        <f t="shared" si="22"/>
        <v>38.435104835990195</v>
      </c>
    </row>
    <row r="78" spans="1:15" x14ac:dyDescent="0.25">
      <c r="A78" s="208" t="s">
        <v>183</v>
      </c>
      <c r="B78" s="3" t="s">
        <v>320</v>
      </c>
      <c r="C78" s="39"/>
      <c r="D78" s="260">
        <v>58</v>
      </c>
      <c r="E78" s="40">
        <f t="shared" si="22"/>
        <v>56.839999999999996</v>
      </c>
      <c r="F78" s="40">
        <f t="shared" si="22"/>
        <v>55.703199999999995</v>
      </c>
      <c r="G78" s="40">
        <f t="shared" si="22"/>
        <v>54.589135999999996</v>
      </c>
      <c r="H78" s="40">
        <f t="shared" si="22"/>
        <v>53.497353279999999</v>
      </c>
      <c r="I78" s="40">
        <f t="shared" si="22"/>
        <v>52.427406214400001</v>
      </c>
      <c r="J78" s="40">
        <f t="shared" si="22"/>
        <v>51.378858090111997</v>
      </c>
      <c r="K78" s="40">
        <f t="shared" si="22"/>
        <v>50.351280928309755</v>
      </c>
      <c r="L78" s="40">
        <f t="shared" si="22"/>
        <v>49.344255309743559</v>
      </c>
      <c r="M78" s="40">
        <f t="shared" si="22"/>
        <v>48.35737020354869</v>
      </c>
      <c r="N78" s="40">
        <f t="shared" si="22"/>
        <v>47.390222799477712</v>
      </c>
      <c r="O78" s="40">
        <f t="shared" si="22"/>
        <v>46.442418343488157</v>
      </c>
    </row>
    <row r="79" spans="1:15" x14ac:dyDescent="0.25">
      <c r="A79" s="17"/>
      <c r="C79" s="40"/>
      <c r="D79" s="40"/>
      <c r="E79" s="40"/>
      <c r="F79" s="40"/>
      <c r="G79" s="40"/>
      <c r="H79" s="40"/>
      <c r="I79" s="40"/>
      <c r="J79" s="40"/>
      <c r="K79" s="40"/>
      <c r="L79" s="40"/>
      <c r="M79" s="40"/>
      <c r="N79" s="40"/>
      <c r="O79" s="40"/>
    </row>
    <row r="80" spans="1:15" s="46" customFormat="1" ht="45" customHeight="1" x14ac:dyDescent="0.25">
      <c r="A80" s="28" t="s">
        <v>215</v>
      </c>
      <c r="B80" s="375"/>
      <c r="C80" s="62"/>
      <c r="D80" s="74"/>
      <c r="E80" s="74"/>
      <c r="F80" s="74"/>
      <c r="G80" s="74"/>
      <c r="H80" s="74"/>
      <c r="I80" s="74"/>
      <c r="J80" s="74"/>
      <c r="K80" s="74"/>
      <c r="L80" s="74"/>
      <c r="M80" s="74"/>
      <c r="N80" s="74"/>
      <c r="O80" s="74"/>
    </row>
    <row r="81" spans="1:16" x14ac:dyDescent="0.25">
      <c r="A81" s="82" t="s">
        <v>103</v>
      </c>
      <c r="B81" s="3" t="s">
        <v>24</v>
      </c>
      <c r="C81" s="39">
        <f>SUM(D81:O81)</f>
        <v>13605.62314936232</v>
      </c>
      <c r="D81" s="40">
        <f t="shared" ref="D81:O81" si="23">D62*D76/1000</f>
        <v>760</v>
      </c>
      <c r="E81" s="40">
        <f t="shared" si="23"/>
        <v>782.04</v>
      </c>
      <c r="F81" s="40">
        <f t="shared" si="23"/>
        <v>843.03912000000025</v>
      </c>
      <c r="G81" s="40">
        <f t="shared" si="23"/>
        <v>991.4140051200003</v>
      </c>
      <c r="H81" s="40">
        <f t="shared" si="23"/>
        <v>1263.0614425228807</v>
      </c>
      <c r="I81" s="40">
        <f t="shared" si="23"/>
        <v>1609.14027777415</v>
      </c>
      <c r="J81" s="40">
        <f t="shared" si="23"/>
        <v>1813.5010930514668</v>
      </c>
      <c r="K81" s="40">
        <f t="shared" si="23"/>
        <v>1830.5480033261504</v>
      </c>
      <c r="L81" s="40">
        <f t="shared" si="23"/>
        <v>1847.7551545574161</v>
      </c>
      <c r="M81" s="40">
        <f t="shared" si="23"/>
        <v>1865.1240530102555</v>
      </c>
      <c r="N81" s="40">
        <f t="shared" si="23"/>
        <v>0</v>
      </c>
      <c r="O81" s="40">
        <f t="shared" si="23"/>
        <v>0</v>
      </c>
    </row>
    <row r="82" spans="1:16" x14ac:dyDescent="0.25">
      <c r="A82" s="82" t="s">
        <v>105</v>
      </c>
      <c r="B82" s="3" t="s">
        <v>24</v>
      </c>
      <c r="C82" s="39">
        <f t="shared" ref="C82:C84" si="24">SUM(D82:O82)</f>
        <v>11282.754452764319</v>
      </c>
      <c r="D82" s="40">
        <f t="shared" ref="D82:O82" si="25">D63*D77/1000</f>
        <v>720</v>
      </c>
      <c r="E82" s="40">
        <f t="shared" si="25"/>
        <v>740.88</v>
      </c>
      <c r="F82" s="40">
        <f t="shared" si="25"/>
        <v>798.66863999999987</v>
      </c>
      <c r="G82" s="40">
        <f>G63*G77/1000</f>
        <v>939.23432063999996</v>
      </c>
      <c r="H82" s="40">
        <f t="shared" si="25"/>
        <v>1104.5395610726398</v>
      </c>
      <c r="I82" s="40">
        <f t="shared" si="25"/>
        <v>1298.9385238214245</v>
      </c>
      <c r="J82" s="40">
        <f t="shared" si="25"/>
        <v>1400.2557286794956</v>
      </c>
      <c r="K82" s="40">
        <f t="shared" si="25"/>
        <v>1413.4181325290829</v>
      </c>
      <c r="L82" s="40">
        <f t="shared" si="25"/>
        <v>1426.7042629748564</v>
      </c>
      <c r="M82" s="40">
        <f t="shared" si="25"/>
        <v>1440.11528304682</v>
      </c>
      <c r="N82" s="40">
        <f t="shared" si="25"/>
        <v>0</v>
      </c>
      <c r="O82" s="40">
        <f t="shared" si="25"/>
        <v>0</v>
      </c>
    </row>
    <row r="83" spans="1:16" x14ac:dyDescent="0.25">
      <c r="A83" s="82" t="s">
        <v>107</v>
      </c>
      <c r="B83" s="3" t="s">
        <v>24</v>
      </c>
      <c r="C83" s="39">
        <f t="shared" si="24"/>
        <v>3879.0412449487176</v>
      </c>
      <c r="D83" s="40">
        <f t="shared" ref="D83:O83" si="26">D64*D78/1000</f>
        <v>290</v>
      </c>
      <c r="E83" s="40">
        <f t="shared" si="26"/>
        <v>312.62</v>
      </c>
      <c r="F83" s="40">
        <f t="shared" si="26"/>
        <v>337.00436000000002</v>
      </c>
      <c r="G83" s="40">
        <f t="shared" si="26"/>
        <v>363.29070008000008</v>
      </c>
      <c r="H83" s="40">
        <f t="shared" si="26"/>
        <v>391.62737468624016</v>
      </c>
      <c r="I83" s="40">
        <f t="shared" si="26"/>
        <v>422.1743099117669</v>
      </c>
      <c r="J83" s="40">
        <f t="shared" si="26"/>
        <v>434.41736489920817</v>
      </c>
      <c r="K83" s="40">
        <f t="shared" si="26"/>
        <v>438.50088812926072</v>
      </c>
      <c r="L83" s="40">
        <f t="shared" si="26"/>
        <v>442.62279647767571</v>
      </c>
      <c r="M83" s="40">
        <f t="shared" si="26"/>
        <v>446.78345076456594</v>
      </c>
      <c r="N83" s="40">
        <f t="shared" si="26"/>
        <v>0</v>
      </c>
      <c r="O83" s="40">
        <f t="shared" si="26"/>
        <v>0</v>
      </c>
    </row>
    <row r="84" spans="1:16" s="108" customFormat="1" ht="21" x14ac:dyDescent="0.35">
      <c r="A84" s="67" t="s">
        <v>323</v>
      </c>
      <c r="B84" s="3" t="s">
        <v>24</v>
      </c>
      <c r="C84" s="68">
        <f t="shared" si="24"/>
        <v>28767.418847075358</v>
      </c>
      <c r="D84" s="68">
        <f>SUM(D81:D83)</f>
        <v>1770</v>
      </c>
      <c r="E84" s="68">
        <f t="shared" ref="E84" si="27">SUM(E81:E83)</f>
        <v>1835.54</v>
      </c>
      <c r="F84" s="68">
        <f t="shared" ref="F84" si="28">SUM(F81:F83)</f>
        <v>1978.7121200000001</v>
      </c>
      <c r="G84" s="68">
        <f t="shared" ref="G84" si="29">SUM(G81:G83)</f>
        <v>2293.9390258400003</v>
      </c>
      <c r="H84" s="68">
        <f t="shared" ref="H84" si="30">SUM(H81:H83)</f>
        <v>2759.2283782817608</v>
      </c>
      <c r="I84" s="68">
        <f t="shared" ref="I84" si="31">SUM(I81:I83)</f>
        <v>3330.2531115073416</v>
      </c>
      <c r="J84" s="68">
        <f t="shared" ref="J84" si="32">SUM(J81:J83)</f>
        <v>3648.1741866301709</v>
      </c>
      <c r="K84" s="68">
        <f t="shared" ref="K84" si="33">SUM(K81:K83)</f>
        <v>3682.4670239844936</v>
      </c>
      <c r="L84" s="68">
        <f t="shared" ref="L84:N84" si="34">SUM(L81:L83)</f>
        <v>3717.0822140099485</v>
      </c>
      <c r="M84" s="68">
        <f t="shared" si="34"/>
        <v>3752.0227868216416</v>
      </c>
      <c r="N84" s="68">
        <f t="shared" si="34"/>
        <v>0</v>
      </c>
      <c r="O84" s="68">
        <f t="shared" ref="O84" si="35">SUM(O81:O83)</f>
        <v>0</v>
      </c>
    </row>
    <row r="85" spans="1:16" x14ac:dyDescent="0.25">
      <c r="A85" s="17"/>
      <c r="C85" s="39"/>
      <c r="D85" s="40"/>
      <c r="E85" s="40"/>
      <c r="F85" s="40"/>
      <c r="G85" s="40"/>
      <c r="H85" s="40"/>
      <c r="I85" s="40"/>
      <c r="J85" s="40"/>
      <c r="K85" s="40"/>
      <c r="L85" s="40"/>
      <c r="M85" s="40"/>
      <c r="N85" s="40"/>
      <c r="O85" s="40"/>
    </row>
    <row r="86" spans="1:16" s="33" customFormat="1" ht="34.700000000000003" customHeight="1" x14ac:dyDescent="0.25">
      <c r="A86" s="150" t="str">
        <f t="shared" ref="A86:O86" si="36">A52</f>
        <v>Years --&gt;</v>
      </c>
      <c r="B86" s="412" t="str">
        <f t="shared" si="36"/>
        <v>units</v>
      </c>
      <c r="C86" s="150" t="str">
        <f t="shared" si="36"/>
        <v>Total</v>
      </c>
      <c r="D86" s="150">
        <f t="shared" si="36"/>
        <v>2019</v>
      </c>
      <c r="E86" s="150">
        <f t="shared" si="36"/>
        <v>2020</v>
      </c>
      <c r="F86" s="150">
        <f t="shared" si="36"/>
        <v>2021</v>
      </c>
      <c r="G86" s="150">
        <f t="shared" si="36"/>
        <v>2022</v>
      </c>
      <c r="H86" s="150">
        <f t="shared" si="36"/>
        <v>2023</v>
      </c>
      <c r="I86" s="150">
        <f t="shared" si="36"/>
        <v>2024</v>
      </c>
      <c r="J86" s="150">
        <f t="shared" si="36"/>
        <v>2025</v>
      </c>
      <c r="K86" s="150">
        <f t="shared" si="36"/>
        <v>2026</v>
      </c>
      <c r="L86" s="150">
        <f t="shared" si="36"/>
        <v>2027</v>
      </c>
      <c r="M86" s="150">
        <f t="shared" si="36"/>
        <v>2028</v>
      </c>
      <c r="N86" s="150">
        <f t="shared" si="36"/>
        <v>2029</v>
      </c>
      <c r="O86" s="150">
        <f t="shared" si="36"/>
        <v>2030</v>
      </c>
    </row>
    <row r="87" spans="1:16" s="46" customFormat="1" ht="45" customHeight="1" x14ac:dyDescent="0.25">
      <c r="A87" s="28" t="s">
        <v>217</v>
      </c>
      <c r="B87" s="375"/>
      <c r="C87" s="62"/>
      <c r="D87" s="74"/>
      <c r="E87" s="74"/>
      <c r="F87" s="74"/>
      <c r="G87" s="74"/>
      <c r="H87" s="74"/>
      <c r="I87" s="74"/>
      <c r="J87" s="74"/>
      <c r="K87" s="74"/>
      <c r="L87" s="74"/>
      <c r="M87" s="74"/>
      <c r="N87" s="74"/>
      <c r="O87" s="74"/>
    </row>
    <row r="88" spans="1:16" x14ac:dyDescent="0.25">
      <c r="A88" s="43" t="s">
        <v>321</v>
      </c>
      <c r="D88" s="1"/>
      <c r="E88" s="1"/>
      <c r="F88" s="1"/>
      <c r="G88" s="1"/>
      <c r="H88" s="1"/>
      <c r="I88" s="1"/>
      <c r="J88" s="1"/>
      <c r="K88" s="1"/>
      <c r="L88" s="1"/>
      <c r="M88" s="1"/>
      <c r="N88" s="1"/>
      <c r="O88" s="1"/>
    </row>
    <row r="89" spans="1:16" x14ac:dyDescent="0.25">
      <c r="A89" s="82" t="str">
        <f>A65</f>
        <v>Total ABC units sold</v>
      </c>
      <c r="B89" s="413" t="str">
        <f t="shared" ref="B89:O89" si="37">B65</f>
        <v>units</v>
      </c>
      <c r="C89" s="39">
        <f t="shared" si="37"/>
        <v>735565.2536666526</v>
      </c>
      <c r="D89" s="73">
        <f t="shared" si="37"/>
        <v>40000</v>
      </c>
      <c r="E89" s="73">
        <f t="shared" si="37"/>
        <v>42250</v>
      </c>
      <c r="F89" s="73">
        <f t="shared" si="37"/>
        <v>46475</v>
      </c>
      <c r="G89" s="73">
        <f t="shared" si="37"/>
        <v>55165</v>
      </c>
      <c r="H89" s="73">
        <f t="shared" si="37"/>
        <v>68304.500000000015</v>
      </c>
      <c r="I89" s="73">
        <f t="shared" si="37"/>
        <v>84836.950000000012</v>
      </c>
      <c r="J89" s="73">
        <f t="shared" si="37"/>
        <v>95260.357500000013</v>
      </c>
      <c r="K89" s="73">
        <f t="shared" si="37"/>
        <v>98118.168225000016</v>
      </c>
      <c r="L89" s="73">
        <f t="shared" si="37"/>
        <v>101061.71327175002</v>
      </c>
      <c r="M89" s="73">
        <f t="shared" si="37"/>
        <v>104093.56466990251</v>
      </c>
      <c r="N89" s="73">
        <f t="shared" si="37"/>
        <v>0</v>
      </c>
      <c r="O89" s="73">
        <f t="shared" si="37"/>
        <v>0</v>
      </c>
    </row>
    <row r="90" spans="1:16" x14ac:dyDescent="0.25">
      <c r="A90" s="256" t="s">
        <v>116</v>
      </c>
      <c r="B90" s="411" t="s">
        <v>118</v>
      </c>
      <c r="C90" s="257"/>
      <c r="D90" s="259">
        <v>2</v>
      </c>
      <c r="E90" s="259">
        <f>D90</f>
        <v>2</v>
      </c>
      <c r="F90" s="259">
        <f t="shared" ref="F90:O90" si="38">E90</f>
        <v>2</v>
      </c>
      <c r="G90" s="259">
        <f t="shared" si="38"/>
        <v>2</v>
      </c>
      <c r="H90" s="259">
        <f t="shared" si="38"/>
        <v>2</v>
      </c>
      <c r="I90" s="259">
        <f t="shared" si="38"/>
        <v>2</v>
      </c>
      <c r="J90" s="259">
        <f t="shared" si="38"/>
        <v>2</v>
      </c>
      <c r="K90" s="259">
        <f t="shared" si="38"/>
        <v>2</v>
      </c>
      <c r="L90" s="259">
        <f t="shared" si="38"/>
        <v>2</v>
      </c>
      <c r="M90" s="259">
        <f t="shared" si="38"/>
        <v>2</v>
      </c>
      <c r="N90" s="259">
        <f t="shared" si="38"/>
        <v>2</v>
      </c>
      <c r="O90" s="259">
        <f t="shared" si="38"/>
        <v>2</v>
      </c>
      <c r="P90" s="195"/>
    </row>
    <row r="91" spans="1:16" s="108" customFormat="1" ht="21" x14ac:dyDescent="0.35">
      <c r="A91" s="67" t="s">
        <v>324</v>
      </c>
      <c r="B91" s="3" t="s">
        <v>24</v>
      </c>
      <c r="C91" s="68">
        <f t="shared" ref="C91" si="39">SUM(D91:O91)</f>
        <v>1471.1305073333051</v>
      </c>
      <c r="D91" s="68">
        <f>D89*D90/1000</f>
        <v>80</v>
      </c>
      <c r="E91" s="68">
        <f t="shared" ref="E91:O91" si="40">E89*E90/1000</f>
        <v>84.5</v>
      </c>
      <c r="F91" s="68">
        <f t="shared" si="40"/>
        <v>92.95</v>
      </c>
      <c r="G91" s="68">
        <f t="shared" si="40"/>
        <v>110.33</v>
      </c>
      <c r="H91" s="68">
        <f t="shared" si="40"/>
        <v>136.60900000000004</v>
      </c>
      <c r="I91" s="68">
        <f t="shared" si="40"/>
        <v>169.67390000000003</v>
      </c>
      <c r="J91" s="68">
        <f t="shared" si="40"/>
        <v>190.52071500000002</v>
      </c>
      <c r="K91" s="68">
        <f t="shared" si="40"/>
        <v>196.23633645000004</v>
      </c>
      <c r="L91" s="68">
        <f t="shared" si="40"/>
        <v>202.12342654350005</v>
      </c>
      <c r="M91" s="68">
        <f t="shared" si="40"/>
        <v>208.18712933980501</v>
      </c>
      <c r="N91" s="68">
        <f t="shared" si="40"/>
        <v>0</v>
      </c>
      <c r="O91" s="68">
        <f t="shared" si="40"/>
        <v>0</v>
      </c>
    </row>
    <row r="92" spans="1:16" s="108" customFormat="1" ht="21" x14ac:dyDescent="0.35">
      <c r="A92" s="67"/>
      <c r="B92" s="3"/>
      <c r="C92" s="68"/>
      <c r="D92" s="68"/>
      <c r="E92" s="68"/>
      <c r="F92" s="68"/>
      <c r="G92" s="68"/>
      <c r="H92" s="68"/>
      <c r="I92" s="68"/>
      <c r="J92" s="68"/>
      <c r="K92" s="68"/>
      <c r="L92" s="68"/>
      <c r="M92" s="68"/>
      <c r="N92" s="68"/>
      <c r="O92" s="68"/>
    </row>
    <row r="93" spans="1:16" s="46" customFormat="1" ht="45" customHeight="1" x14ac:dyDescent="0.25">
      <c r="A93" s="28" t="s">
        <v>121</v>
      </c>
      <c r="B93" s="375"/>
      <c r="C93" s="62"/>
      <c r="D93" s="74"/>
      <c r="E93" s="74"/>
      <c r="F93" s="74"/>
      <c r="G93" s="74"/>
      <c r="H93" s="74"/>
      <c r="I93" s="74"/>
      <c r="J93" s="74"/>
      <c r="K93" s="74"/>
      <c r="L93" s="74"/>
      <c r="M93" s="74"/>
      <c r="N93" s="74"/>
      <c r="O93" s="74"/>
    </row>
    <row r="94" spans="1:16" ht="28.7" customHeight="1" x14ac:dyDescent="0.25">
      <c r="A94" s="107" t="s">
        <v>218</v>
      </c>
      <c r="C94" s="39"/>
      <c r="D94" s="39"/>
      <c r="E94" s="39"/>
      <c r="F94" s="39"/>
      <c r="G94" s="39"/>
      <c r="H94" s="39"/>
      <c r="I94" s="39"/>
      <c r="J94" s="39"/>
      <c r="K94" s="39"/>
      <c r="L94" s="39"/>
      <c r="M94" s="39"/>
      <c r="N94" s="39"/>
      <c r="O94" s="39"/>
    </row>
    <row r="95" spans="1:16" x14ac:dyDescent="0.25">
      <c r="A95" s="123" t="s">
        <v>322</v>
      </c>
      <c r="D95" s="1"/>
      <c r="E95" s="1"/>
      <c r="F95" s="1"/>
      <c r="G95" s="1"/>
      <c r="H95" s="1"/>
      <c r="I95" s="1"/>
      <c r="J95" s="1"/>
      <c r="K95" s="1"/>
      <c r="L95" s="1"/>
      <c r="M95" s="1"/>
      <c r="N95" s="1"/>
      <c r="O95" s="1"/>
    </row>
    <row r="96" spans="1:16" x14ac:dyDescent="0.25">
      <c r="A96" s="82" t="str">
        <f t="shared" ref="A96:O96" si="41">A65</f>
        <v>Total ABC units sold</v>
      </c>
      <c r="B96" s="413" t="str">
        <f t="shared" si="41"/>
        <v>units</v>
      </c>
      <c r="C96" s="39">
        <f t="shared" si="41"/>
        <v>735565.2536666526</v>
      </c>
      <c r="D96" s="73">
        <f t="shared" si="41"/>
        <v>40000</v>
      </c>
      <c r="E96" s="73">
        <f t="shared" si="41"/>
        <v>42250</v>
      </c>
      <c r="F96" s="73">
        <f t="shared" si="41"/>
        <v>46475</v>
      </c>
      <c r="G96" s="73">
        <f t="shared" si="41"/>
        <v>55165</v>
      </c>
      <c r="H96" s="73">
        <f t="shared" si="41"/>
        <v>68304.500000000015</v>
      </c>
      <c r="I96" s="73">
        <f t="shared" si="41"/>
        <v>84836.950000000012</v>
      </c>
      <c r="J96" s="73">
        <f t="shared" si="41"/>
        <v>95260.357500000013</v>
      </c>
      <c r="K96" s="73">
        <f t="shared" si="41"/>
        <v>98118.168225000016</v>
      </c>
      <c r="L96" s="73">
        <f t="shared" si="41"/>
        <v>101061.71327175002</v>
      </c>
      <c r="M96" s="73">
        <f t="shared" si="41"/>
        <v>104093.56466990251</v>
      </c>
      <c r="N96" s="73">
        <f t="shared" si="41"/>
        <v>0</v>
      </c>
      <c r="O96" s="73">
        <f t="shared" si="41"/>
        <v>0</v>
      </c>
    </row>
    <row r="97" spans="1:17" s="198" customFormat="1" x14ac:dyDescent="0.25">
      <c r="A97" s="256" t="s">
        <v>424</v>
      </c>
      <c r="B97" s="411"/>
      <c r="C97" s="261"/>
      <c r="D97" s="259"/>
      <c r="E97" s="258">
        <v>0.1</v>
      </c>
      <c r="F97" s="258">
        <v>0.2</v>
      </c>
      <c r="G97" s="258">
        <v>0.5</v>
      </c>
      <c r="H97" s="258">
        <v>1</v>
      </c>
      <c r="I97" s="258">
        <v>1.2</v>
      </c>
      <c r="J97" s="258">
        <f>I97</f>
        <v>1.2</v>
      </c>
      <c r="K97" s="258">
        <f t="shared" ref="K97:O97" si="42">J97</f>
        <v>1.2</v>
      </c>
      <c r="L97" s="258">
        <f t="shared" si="42"/>
        <v>1.2</v>
      </c>
      <c r="M97" s="258">
        <f t="shared" si="42"/>
        <v>1.2</v>
      </c>
      <c r="N97" s="258">
        <f t="shared" si="42"/>
        <v>1.2</v>
      </c>
      <c r="O97" s="258">
        <f t="shared" si="42"/>
        <v>1.2</v>
      </c>
    </row>
    <row r="98" spans="1:17" x14ac:dyDescent="0.25">
      <c r="A98" s="208" t="s">
        <v>428</v>
      </c>
      <c r="B98" s="3" t="s">
        <v>3</v>
      </c>
      <c r="C98" s="39">
        <f>SUM(D98:O98)</f>
        <v>689451.90439998312</v>
      </c>
      <c r="D98" s="73">
        <f>D96*D97</f>
        <v>0</v>
      </c>
      <c r="E98" s="73">
        <f t="shared" ref="E98:O98" si="43">E96*E97</f>
        <v>4225</v>
      </c>
      <c r="F98" s="73">
        <f t="shared" si="43"/>
        <v>9295</v>
      </c>
      <c r="G98" s="73">
        <f t="shared" si="43"/>
        <v>27582.5</v>
      </c>
      <c r="H98" s="73">
        <f t="shared" si="43"/>
        <v>68304.500000000015</v>
      </c>
      <c r="I98" s="73">
        <f t="shared" si="43"/>
        <v>101804.34000000001</v>
      </c>
      <c r="J98" s="73">
        <f t="shared" si="43"/>
        <v>114312.42900000002</v>
      </c>
      <c r="K98" s="73">
        <f t="shared" si="43"/>
        <v>117741.80187000001</v>
      </c>
      <c r="L98" s="73">
        <f t="shared" si="43"/>
        <v>121274.05592610002</v>
      </c>
      <c r="M98" s="73">
        <f t="shared" si="43"/>
        <v>124912.27760388301</v>
      </c>
      <c r="N98" s="73">
        <f t="shared" si="43"/>
        <v>0</v>
      </c>
      <c r="O98" s="73">
        <f t="shared" si="43"/>
        <v>0</v>
      </c>
    </row>
    <row r="99" spans="1:17" ht="28.7" customHeight="1" x14ac:dyDescent="0.25">
      <c r="A99" s="107" t="s">
        <v>119</v>
      </c>
      <c r="C99" s="39"/>
      <c r="D99" s="39"/>
      <c r="E99" s="39"/>
      <c r="F99" s="39"/>
      <c r="G99" s="39"/>
      <c r="H99" s="39"/>
      <c r="I99" s="39"/>
      <c r="J99" s="39"/>
      <c r="K99" s="39"/>
      <c r="L99" s="39"/>
      <c r="M99" s="39"/>
      <c r="N99" s="39"/>
      <c r="O99" s="39"/>
    </row>
    <row r="100" spans="1:17" x14ac:dyDescent="0.25">
      <c r="A100" s="123" t="s">
        <v>220</v>
      </c>
      <c r="D100" s="1"/>
      <c r="E100" s="1"/>
      <c r="F100" s="1"/>
      <c r="G100" s="1"/>
      <c r="H100" s="1"/>
      <c r="I100" s="1"/>
      <c r="J100" s="1"/>
      <c r="K100" s="1"/>
      <c r="L100" s="1"/>
      <c r="M100" s="1"/>
      <c r="N100" s="1"/>
      <c r="O100" s="1"/>
    </row>
    <row r="101" spans="1:17" x14ac:dyDescent="0.25">
      <c r="A101" s="256" t="s">
        <v>219</v>
      </c>
      <c r="B101" s="411" t="s">
        <v>117</v>
      </c>
      <c r="C101" s="257"/>
      <c r="D101" s="262">
        <v>1.5</v>
      </c>
      <c r="E101" s="262">
        <f>D101</f>
        <v>1.5</v>
      </c>
      <c r="F101" s="262">
        <f t="shared" ref="F101:O101" si="44">E101</f>
        <v>1.5</v>
      </c>
      <c r="G101" s="262">
        <f t="shared" si="44"/>
        <v>1.5</v>
      </c>
      <c r="H101" s="262">
        <f t="shared" si="44"/>
        <v>1.5</v>
      </c>
      <c r="I101" s="262">
        <f t="shared" si="44"/>
        <v>1.5</v>
      </c>
      <c r="J101" s="262">
        <f t="shared" si="44"/>
        <v>1.5</v>
      </c>
      <c r="K101" s="262">
        <f t="shared" si="44"/>
        <v>1.5</v>
      </c>
      <c r="L101" s="262">
        <f t="shared" si="44"/>
        <v>1.5</v>
      </c>
      <c r="M101" s="262">
        <f t="shared" si="44"/>
        <v>1.5</v>
      </c>
      <c r="N101" s="262">
        <f t="shared" si="44"/>
        <v>1.5</v>
      </c>
      <c r="O101" s="262">
        <f t="shared" si="44"/>
        <v>1.5</v>
      </c>
      <c r="P101" s="195"/>
    </row>
    <row r="102" spans="1:17" s="108" customFormat="1" ht="21" x14ac:dyDescent="0.35">
      <c r="A102" s="67" t="s">
        <v>325</v>
      </c>
      <c r="B102" s="3" t="s">
        <v>24</v>
      </c>
      <c r="C102" s="68">
        <f t="shared" ref="C102" si="45">SUM(D102:O102)</f>
        <v>1034.1778565999748</v>
      </c>
      <c r="D102" s="68">
        <f>D98*D101/1000</f>
        <v>0</v>
      </c>
      <c r="E102" s="68">
        <f t="shared" ref="E102:O102" si="46">E98*E101/1000</f>
        <v>6.3375000000000004</v>
      </c>
      <c r="F102" s="68">
        <f t="shared" si="46"/>
        <v>13.942500000000001</v>
      </c>
      <c r="G102" s="68">
        <f t="shared" si="46"/>
        <v>41.373750000000001</v>
      </c>
      <c r="H102" s="68">
        <f t="shared" si="46"/>
        <v>102.45675000000003</v>
      </c>
      <c r="I102" s="68">
        <f t="shared" si="46"/>
        <v>152.70651000000001</v>
      </c>
      <c r="J102" s="68">
        <f t="shared" si="46"/>
        <v>171.46864350000004</v>
      </c>
      <c r="K102" s="68">
        <f t="shared" si="46"/>
        <v>176.612702805</v>
      </c>
      <c r="L102" s="68">
        <f t="shared" si="46"/>
        <v>181.91108388915004</v>
      </c>
      <c r="M102" s="68">
        <f t="shared" si="46"/>
        <v>187.36841640582452</v>
      </c>
      <c r="N102" s="68">
        <f t="shared" si="46"/>
        <v>0</v>
      </c>
      <c r="O102" s="68">
        <f t="shared" si="46"/>
        <v>0</v>
      </c>
    </row>
    <row r="103" spans="1:17" s="108" customFormat="1" ht="21" x14ac:dyDescent="0.35">
      <c r="A103" s="67"/>
      <c r="B103" s="3"/>
      <c r="C103" s="68"/>
      <c r="D103" s="68"/>
      <c r="E103" s="68"/>
      <c r="F103" s="68"/>
      <c r="G103" s="68"/>
      <c r="H103" s="68"/>
      <c r="I103" s="68"/>
      <c r="J103" s="68"/>
      <c r="K103" s="68"/>
      <c r="L103" s="68"/>
      <c r="M103" s="68"/>
      <c r="N103" s="68"/>
      <c r="O103" s="68"/>
    </row>
    <row r="104" spans="1:17" s="46" customFormat="1" ht="45" customHeight="1" x14ac:dyDescent="0.25">
      <c r="A104" s="28" t="s">
        <v>120</v>
      </c>
      <c r="B104" s="375"/>
      <c r="C104" s="62"/>
      <c r="D104" s="74"/>
      <c r="E104" s="74"/>
      <c r="F104" s="74"/>
      <c r="G104" s="74"/>
      <c r="H104" s="74"/>
      <c r="I104" s="74"/>
      <c r="J104" s="74"/>
      <c r="K104" s="74"/>
      <c r="L104" s="74"/>
      <c r="M104" s="74"/>
      <c r="N104" s="74"/>
      <c r="O104" s="74"/>
    </row>
    <row r="105" spans="1:17" x14ac:dyDescent="0.25">
      <c r="A105" s="82" t="str">
        <f>A84</f>
        <v>Revenue from ABC units</v>
      </c>
      <c r="B105" s="413" t="str">
        <f>B84</f>
        <v>US$ 000  Real</v>
      </c>
      <c r="C105" s="39">
        <f t="shared" ref="C105:C107" si="47">SUM(D105:O105)</f>
        <v>28767.418847075358</v>
      </c>
      <c r="D105" s="73">
        <f t="shared" ref="D105:O105" si="48">D84</f>
        <v>1770</v>
      </c>
      <c r="E105" s="73">
        <f t="shared" si="48"/>
        <v>1835.54</v>
      </c>
      <c r="F105" s="73">
        <f t="shared" si="48"/>
        <v>1978.7121200000001</v>
      </c>
      <c r="G105" s="73">
        <f t="shared" si="48"/>
        <v>2293.9390258400003</v>
      </c>
      <c r="H105" s="73">
        <f t="shared" si="48"/>
        <v>2759.2283782817608</v>
      </c>
      <c r="I105" s="73">
        <f t="shared" si="48"/>
        <v>3330.2531115073416</v>
      </c>
      <c r="J105" s="73">
        <f t="shared" si="48"/>
        <v>3648.1741866301709</v>
      </c>
      <c r="K105" s="73">
        <f t="shared" si="48"/>
        <v>3682.4670239844936</v>
      </c>
      <c r="L105" s="73">
        <f t="shared" si="48"/>
        <v>3717.0822140099485</v>
      </c>
      <c r="M105" s="73">
        <f t="shared" si="48"/>
        <v>3752.0227868216416</v>
      </c>
      <c r="N105" s="73">
        <f t="shared" si="48"/>
        <v>0</v>
      </c>
      <c r="O105" s="73">
        <f t="shared" si="48"/>
        <v>0</v>
      </c>
    </row>
    <row r="106" spans="1:17" x14ac:dyDescent="0.25">
      <c r="A106" s="82" t="str">
        <f>A91</f>
        <v xml:space="preserve">Cash Grants from Results Based Financing </v>
      </c>
      <c r="B106" s="413" t="str">
        <f>B91</f>
        <v>US$ 000  Real</v>
      </c>
      <c r="C106" s="39">
        <f t="shared" si="47"/>
        <v>1471.1305073333051</v>
      </c>
      <c r="D106" s="73">
        <f t="shared" ref="D106:O106" si="49">D91</f>
        <v>80</v>
      </c>
      <c r="E106" s="73">
        <f t="shared" si="49"/>
        <v>84.5</v>
      </c>
      <c r="F106" s="73">
        <f t="shared" si="49"/>
        <v>92.95</v>
      </c>
      <c r="G106" s="73">
        <f t="shared" si="49"/>
        <v>110.33</v>
      </c>
      <c r="H106" s="73">
        <f t="shared" si="49"/>
        <v>136.60900000000004</v>
      </c>
      <c r="I106" s="73">
        <f t="shared" si="49"/>
        <v>169.67390000000003</v>
      </c>
      <c r="J106" s="73">
        <f t="shared" si="49"/>
        <v>190.52071500000002</v>
      </c>
      <c r="K106" s="73">
        <f t="shared" si="49"/>
        <v>196.23633645000004</v>
      </c>
      <c r="L106" s="73">
        <f t="shared" si="49"/>
        <v>202.12342654350005</v>
      </c>
      <c r="M106" s="73">
        <f t="shared" si="49"/>
        <v>208.18712933980501</v>
      </c>
      <c r="N106" s="73">
        <f t="shared" si="49"/>
        <v>0</v>
      </c>
      <c r="O106" s="73">
        <f t="shared" si="49"/>
        <v>0</v>
      </c>
    </row>
    <row r="107" spans="1:17" x14ac:dyDescent="0.25">
      <c r="A107" s="82" t="str">
        <f>A102</f>
        <v>Commissions from international sales of ABC's</v>
      </c>
      <c r="B107" s="413" t="str">
        <f>B102</f>
        <v>US$ 000  Real</v>
      </c>
      <c r="C107" s="39">
        <f t="shared" si="47"/>
        <v>1034.1778565999748</v>
      </c>
      <c r="D107" s="73">
        <f t="shared" ref="D107:O107" si="50">D102</f>
        <v>0</v>
      </c>
      <c r="E107" s="73">
        <f t="shared" si="50"/>
        <v>6.3375000000000004</v>
      </c>
      <c r="F107" s="73">
        <f t="shared" si="50"/>
        <v>13.942500000000001</v>
      </c>
      <c r="G107" s="73">
        <f t="shared" si="50"/>
        <v>41.373750000000001</v>
      </c>
      <c r="H107" s="73">
        <f t="shared" si="50"/>
        <v>102.45675000000003</v>
      </c>
      <c r="I107" s="73">
        <f t="shared" si="50"/>
        <v>152.70651000000001</v>
      </c>
      <c r="J107" s="73">
        <f t="shared" si="50"/>
        <v>171.46864350000004</v>
      </c>
      <c r="K107" s="73">
        <f t="shared" si="50"/>
        <v>176.612702805</v>
      </c>
      <c r="L107" s="73">
        <f t="shared" si="50"/>
        <v>181.91108388915004</v>
      </c>
      <c r="M107" s="73">
        <f t="shared" si="50"/>
        <v>187.36841640582452</v>
      </c>
      <c r="N107" s="73">
        <f t="shared" si="50"/>
        <v>0</v>
      </c>
      <c r="O107" s="73">
        <f t="shared" si="50"/>
        <v>0</v>
      </c>
    </row>
    <row r="108" spans="1:17" s="33" customFormat="1" ht="41.45" customHeight="1" x14ac:dyDescent="0.25">
      <c r="A108" s="85" t="s">
        <v>27</v>
      </c>
      <c r="B108" s="375" t="s">
        <v>56</v>
      </c>
      <c r="C108" s="86">
        <f t="shared" ref="C108" si="51">SUM(D108:O108)</f>
        <v>31272.727211008638</v>
      </c>
      <c r="D108" s="84">
        <f t="shared" ref="D108:O108" si="52">SUM(D105:D107)</f>
        <v>1850</v>
      </c>
      <c r="E108" s="84">
        <f t="shared" si="52"/>
        <v>1926.3775000000001</v>
      </c>
      <c r="F108" s="84">
        <f t="shared" si="52"/>
        <v>2085.6046200000001</v>
      </c>
      <c r="G108" s="84">
        <f t="shared" si="52"/>
        <v>2445.6427758400005</v>
      </c>
      <c r="H108" s="84">
        <f t="shared" si="52"/>
        <v>2998.2941282817605</v>
      </c>
      <c r="I108" s="84">
        <f t="shared" si="52"/>
        <v>3652.6335215073418</v>
      </c>
      <c r="J108" s="84">
        <f t="shared" si="52"/>
        <v>4010.1635451301709</v>
      </c>
      <c r="K108" s="84">
        <f t="shared" si="52"/>
        <v>4055.3160632394938</v>
      </c>
      <c r="L108" s="84">
        <f t="shared" si="52"/>
        <v>4101.1167244425988</v>
      </c>
      <c r="M108" s="84">
        <f t="shared" si="52"/>
        <v>4147.578332567271</v>
      </c>
      <c r="N108" s="84">
        <f t="shared" si="52"/>
        <v>0</v>
      </c>
      <c r="O108" s="84">
        <f t="shared" si="52"/>
        <v>0</v>
      </c>
    </row>
    <row r="109" spans="1:17" x14ac:dyDescent="0.25">
      <c r="A109" s="17"/>
      <c r="C109" s="39"/>
      <c r="D109" s="40"/>
      <c r="E109" s="40"/>
      <c r="F109" s="40"/>
      <c r="G109" s="40"/>
      <c r="H109" s="40"/>
      <c r="I109" s="40"/>
      <c r="J109" s="40"/>
      <c r="K109" s="40"/>
      <c r="L109" s="40"/>
      <c r="M109" s="40"/>
      <c r="N109" s="40"/>
      <c r="O109" s="40"/>
    </row>
    <row r="110" spans="1:17" s="46" customFormat="1" ht="45" customHeight="1" x14ac:dyDescent="0.25">
      <c r="A110" s="28" t="s">
        <v>327</v>
      </c>
      <c r="B110" s="375"/>
      <c r="C110" s="62"/>
      <c r="D110" s="74"/>
      <c r="E110" s="74"/>
      <c r="F110" s="74"/>
      <c r="G110" s="74"/>
      <c r="H110" s="74"/>
      <c r="I110" s="74"/>
      <c r="J110" s="74"/>
      <c r="K110" s="74"/>
      <c r="L110" s="74"/>
      <c r="M110" s="74"/>
      <c r="N110" s="74"/>
      <c r="O110" s="74"/>
    </row>
    <row r="111" spans="1:17" ht="28.7" customHeight="1" x14ac:dyDescent="0.25">
      <c r="A111" s="107" t="s">
        <v>425</v>
      </c>
      <c r="C111" s="39"/>
      <c r="D111" s="39"/>
      <c r="E111" s="39"/>
      <c r="F111" s="39"/>
      <c r="G111" s="39"/>
      <c r="H111" s="39"/>
      <c r="I111" s="39"/>
      <c r="J111" s="39"/>
      <c r="K111" s="39"/>
      <c r="L111" s="39"/>
      <c r="M111" s="39"/>
      <c r="N111" s="39"/>
      <c r="O111" s="39"/>
    </row>
    <row r="112" spans="1:17" x14ac:dyDescent="0.25">
      <c r="A112" s="43" t="s">
        <v>426</v>
      </c>
      <c r="D112" s="153"/>
      <c r="E112" s="1"/>
      <c r="F112" s="1"/>
      <c r="G112" s="1"/>
      <c r="H112" s="1"/>
      <c r="I112" s="1"/>
      <c r="J112" s="1"/>
      <c r="K112" s="1"/>
      <c r="L112" s="1"/>
      <c r="M112" s="1"/>
      <c r="N112" s="1"/>
      <c r="O112" s="1"/>
      <c r="Q112" s="46"/>
    </row>
    <row r="113" spans="1:29" x14ac:dyDescent="0.25">
      <c r="A113" s="255" t="s">
        <v>122</v>
      </c>
      <c r="B113" s="411" t="s">
        <v>21</v>
      </c>
      <c r="C113" s="257"/>
      <c r="D113" s="259">
        <v>14</v>
      </c>
      <c r="E113" s="259">
        <f>D113</f>
        <v>14</v>
      </c>
      <c r="F113" s="259">
        <f t="shared" ref="F113:O113" si="53">E113</f>
        <v>14</v>
      </c>
      <c r="G113" s="259">
        <f t="shared" si="53"/>
        <v>14</v>
      </c>
      <c r="H113" s="259">
        <f t="shared" si="53"/>
        <v>14</v>
      </c>
      <c r="I113" s="259">
        <f t="shared" si="53"/>
        <v>14</v>
      </c>
      <c r="J113" s="259">
        <f t="shared" si="53"/>
        <v>14</v>
      </c>
      <c r="K113" s="259">
        <f t="shared" si="53"/>
        <v>14</v>
      </c>
      <c r="L113" s="259">
        <f t="shared" si="53"/>
        <v>14</v>
      </c>
      <c r="M113" s="259">
        <f t="shared" si="53"/>
        <v>14</v>
      </c>
      <c r="N113" s="259">
        <f t="shared" si="53"/>
        <v>14</v>
      </c>
      <c r="O113" s="259">
        <f t="shared" si="53"/>
        <v>14</v>
      </c>
      <c r="Q113" s="46"/>
    </row>
    <row r="114" spans="1:29" x14ac:dyDescent="0.25">
      <c r="A114" s="208" t="s">
        <v>427</v>
      </c>
      <c r="B114" s="3" t="s">
        <v>24</v>
      </c>
      <c r="C114" s="39"/>
      <c r="D114" s="40">
        <f t="shared" ref="D114:O114" si="54">D84/365*D113</f>
        <v>67.890410958904113</v>
      </c>
      <c r="E114" s="40">
        <f t="shared" si="54"/>
        <v>70.404273972602738</v>
      </c>
      <c r="F114" s="40">
        <f t="shared" si="54"/>
        <v>75.895807342465758</v>
      </c>
      <c r="G114" s="40">
        <f t="shared" si="54"/>
        <v>87.986702360986314</v>
      </c>
      <c r="H114" s="40">
        <f t="shared" si="54"/>
        <v>105.83341724916343</v>
      </c>
      <c r="I114" s="40">
        <f t="shared" si="54"/>
        <v>127.73573578384325</v>
      </c>
      <c r="J114" s="40">
        <f t="shared" si="54"/>
        <v>139.92996880225311</v>
      </c>
      <c r="K114" s="40">
        <f t="shared" si="54"/>
        <v>141.24531050899427</v>
      </c>
      <c r="L114" s="40">
        <f t="shared" si="54"/>
        <v>142.57301642777884</v>
      </c>
      <c r="M114" s="40">
        <f t="shared" si="54"/>
        <v>143.91320278219996</v>
      </c>
      <c r="N114" s="40">
        <f t="shared" si="54"/>
        <v>0</v>
      </c>
      <c r="O114" s="40">
        <f t="shared" si="54"/>
        <v>0</v>
      </c>
    </row>
    <row r="115" spans="1:29" ht="20.25" customHeight="1" x14ac:dyDescent="0.25">
      <c r="A115" s="107" t="s">
        <v>328</v>
      </c>
      <c r="C115" s="39"/>
      <c r="D115" s="39"/>
      <c r="E115" s="39"/>
      <c r="F115" s="39"/>
      <c r="G115" s="39"/>
      <c r="H115" s="39"/>
      <c r="I115" s="39"/>
      <c r="J115" s="39"/>
      <c r="K115" s="39"/>
      <c r="L115" s="39"/>
      <c r="M115" s="39"/>
      <c r="N115" s="39"/>
      <c r="O115" s="39"/>
    </row>
    <row r="116" spans="1:29" x14ac:dyDescent="0.25">
      <c r="A116" s="43" t="s">
        <v>329</v>
      </c>
      <c r="D116" s="153"/>
      <c r="E116" s="1"/>
      <c r="F116" s="1"/>
      <c r="G116" s="1"/>
      <c r="H116" s="1"/>
      <c r="I116" s="1"/>
      <c r="J116" s="1"/>
      <c r="K116" s="1"/>
      <c r="L116" s="1"/>
      <c r="M116" s="1"/>
      <c r="N116" s="1"/>
      <c r="O116" s="1"/>
      <c r="Q116" s="46"/>
    </row>
    <row r="117" spans="1:29" x14ac:dyDescent="0.25">
      <c r="A117" s="81" t="s">
        <v>122</v>
      </c>
      <c r="B117" s="381" t="s">
        <v>21</v>
      </c>
      <c r="C117" s="39"/>
      <c r="D117" s="50">
        <v>183</v>
      </c>
      <c r="E117" s="50">
        <f>D117</f>
        <v>183</v>
      </c>
      <c r="F117" s="50">
        <f t="shared" ref="F117:O117" si="55">E117</f>
        <v>183</v>
      </c>
      <c r="G117" s="50">
        <f t="shared" si="55"/>
        <v>183</v>
      </c>
      <c r="H117" s="50">
        <f t="shared" si="55"/>
        <v>183</v>
      </c>
      <c r="I117" s="50">
        <f t="shared" si="55"/>
        <v>183</v>
      </c>
      <c r="J117" s="50">
        <f t="shared" si="55"/>
        <v>183</v>
      </c>
      <c r="K117" s="50">
        <f t="shared" si="55"/>
        <v>183</v>
      </c>
      <c r="L117" s="50">
        <f t="shared" si="55"/>
        <v>183</v>
      </c>
      <c r="M117" s="50">
        <f t="shared" si="55"/>
        <v>183</v>
      </c>
      <c r="N117" s="50">
        <f t="shared" si="55"/>
        <v>183</v>
      </c>
      <c r="O117" s="50">
        <f t="shared" si="55"/>
        <v>183</v>
      </c>
      <c r="Q117" s="46"/>
    </row>
    <row r="118" spans="1:29" x14ac:dyDescent="0.25">
      <c r="A118" s="208" t="s">
        <v>123</v>
      </c>
      <c r="B118" s="3" t="s">
        <v>24</v>
      </c>
      <c r="C118" s="39"/>
      <c r="D118" s="40">
        <f t="shared" ref="D118:O118" si="56">(D91+D102)/365*D117</f>
        <v>40.109589041095887</v>
      </c>
      <c r="E118" s="40">
        <f t="shared" si="56"/>
        <v>45.54318493150685</v>
      </c>
      <c r="F118" s="40">
        <f t="shared" si="56"/>
        <v>53.592678082191782</v>
      </c>
      <c r="G118" s="40">
        <f t="shared" si="56"/>
        <v>76.059688356164386</v>
      </c>
      <c r="H118" s="40">
        <f t="shared" si="56"/>
        <v>119.86036232876717</v>
      </c>
      <c r="I118" s="40">
        <f t="shared" si="56"/>
        <v>161.631822</v>
      </c>
      <c r="J118" s="40">
        <f t="shared" si="56"/>
        <v>181.49055508356167</v>
      </c>
      <c r="K118" s="40">
        <f t="shared" si="56"/>
        <v>186.9352717360685</v>
      </c>
      <c r="L118" s="40">
        <f t="shared" si="56"/>
        <v>192.54332988815062</v>
      </c>
      <c r="M118" s="40">
        <f t="shared" si="56"/>
        <v>198.31962978479507</v>
      </c>
      <c r="N118" s="40">
        <f t="shared" si="56"/>
        <v>0</v>
      </c>
      <c r="O118" s="40">
        <f t="shared" si="56"/>
        <v>0</v>
      </c>
    </row>
    <row r="119" spans="1:29" ht="18" customHeight="1" x14ac:dyDescent="0.25">
      <c r="A119" s="107" t="s">
        <v>29</v>
      </c>
      <c r="C119" s="39"/>
      <c r="D119" s="40"/>
      <c r="E119" s="40"/>
      <c r="F119" s="40"/>
      <c r="G119" s="40"/>
      <c r="H119" s="40"/>
      <c r="I119" s="40"/>
      <c r="J119" s="40"/>
      <c r="K119" s="40"/>
      <c r="L119" s="40"/>
      <c r="M119" s="40"/>
      <c r="N119" s="40"/>
      <c r="O119" s="40"/>
    </row>
    <row r="120" spans="1:29" ht="16.5" thickBot="1" x14ac:dyDescent="0.3">
      <c r="A120" s="17" t="s">
        <v>29</v>
      </c>
      <c r="B120" s="3" t="s">
        <v>24</v>
      </c>
      <c r="C120" s="40"/>
      <c r="D120" s="79">
        <f>D114+D118</f>
        <v>108</v>
      </c>
      <c r="E120" s="79">
        <f t="shared" ref="E120:O120" si="57">E114+E118</f>
        <v>115.9474589041096</v>
      </c>
      <c r="F120" s="79">
        <f t="shared" si="57"/>
        <v>129.48848542465754</v>
      </c>
      <c r="G120" s="79">
        <f t="shared" si="57"/>
        <v>164.0463907171507</v>
      </c>
      <c r="H120" s="79">
        <f t="shared" si="57"/>
        <v>225.6937795779306</v>
      </c>
      <c r="I120" s="79">
        <f t="shared" si="57"/>
        <v>289.36755778384327</v>
      </c>
      <c r="J120" s="79">
        <f t="shared" si="57"/>
        <v>321.42052388581476</v>
      </c>
      <c r="K120" s="79">
        <f t="shared" si="57"/>
        <v>328.18058224506274</v>
      </c>
      <c r="L120" s="79">
        <f t="shared" si="57"/>
        <v>335.11634631592949</v>
      </c>
      <c r="M120" s="79">
        <f t="shared" si="57"/>
        <v>342.23283256699506</v>
      </c>
      <c r="N120" s="79">
        <f t="shared" si="57"/>
        <v>0</v>
      </c>
      <c r="O120" s="79">
        <f t="shared" si="57"/>
        <v>0</v>
      </c>
    </row>
    <row r="121" spans="1:29" s="9" customFormat="1" ht="16.5" thickBot="1" x14ac:dyDescent="0.3">
      <c r="A121" s="41" t="s">
        <v>330</v>
      </c>
      <c r="B121" s="3" t="s">
        <v>24</v>
      </c>
      <c r="C121" s="39">
        <f t="shared" ref="C121" si="58">SUM(D121:O121)</f>
        <v>0</v>
      </c>
      <c r="D121" s="66">
        <f>D120</f>
        <v>108</v>
      </c>
      <c r="E121" s="39">
        <f>E120-D120</f>
        <v>7.9474589041095953</v>
      </c>
      <c r="F121" s="39">
        <f t="shared" ref="F121:O121" si="59">F120-E120</f>
        <v>13.541026520547945</v>
      </c>
      <c r="G121" s="39">
        <f t="shared" si="59"/>
        <v>34.55790529249316</v>
      </c>
      <c r="H121" s="39">
        <f t="shared" si="59"/>
        <v>61.647388860779898</v>
      </c>
      <c r="I121" s="39">
        <f t="shared" si="59"/>
        <v>63.673778205912669</v>
      </c>
      <c r="J121" s="39">
        <f t="shared" si="59"/>
        <v>32.052966101971492</v>
      </c>
      <c r="K121" s="39">
        <f t="shared" si="59"/>
        <v>6.7600583592479779</v>
      </c>
      <c r="L121" s="39">
        <f t="shared" si="59"/>
        <v>6.9357640708667532</v>
      </c>
      <c r="M121" s="39">
        <f t="shared" si="59"/>
        <v>7.1164862510655666</v>
      </c>
      <c r="N121" s="39">
        <f t="shared" si="59"/>
        <v>-342.23283256699506</v>
      </c>
      <c r="O121" s="39">
        <f t="shared" si="59"/>
        <v>0</v>
      </c>
    </row>
    <row r="122" spans="1:29" s="17" customFormat="1" x14ac:dyDescent="0.25">
      <c r="A122" s="320" t="s">
        <v>28</v>
      </c>
      <c r="B122" s="3"/>
      <c r="C122" s="321" t="str">
        <f>IF(C121=0,"OK","ERROR: Sales do not equal Production!")</f>
        <v>OK</v>
      </c>
      <c r="D122" s="40"/>
      <c r="E122" s="40"/>
      <c r="F122" s="40"/>
      <c r="G122" s="40"/>
      <c r="H122" s="40"/>
      <c r="I122" s="40"/>
      <c r="J122" s="40"/>
      <c r="K122" s="40"/>
      <c r="L122" s="40"/>
      <c r="M122" s="40"/>
      <c r="N122" s="73"/>
    </row>
    <row r="123" spans="1:29" x14ac:dyDescent="0.25">
      <c r="A123" s="17"/>
      <c r="C123" s="39"/>
      <c r="D123" s="40"/>
      <c r="E123" s="40"/>
      <c r="F123" s="40"/>
      <c r="G123" s="40"/>
      <c r="H123" s="40"/>
      <c r="I123" s="40"/>
      <c r="J123" s="40"/>
      <c r="K123" s="40"/>
      <c r="L123" s="40"/>
      <c r="M123" s="40"/>
      <c r="N123" s="40"/>
      <c r="O123" s="40"/>
    </row>
    <row r="124" spans="1:29" s="77" customFormat="1" ht="36.6" customHeight="1" x14ac:dyDescent="0.25">
      <c r="A124" s="75" t="s">
        <v>331</v>
      </c>
      <c r="B124" s="375" t="s">
        <v>24</v>
      </c>
      <c r="C124" s="76">
        <f>SUM(D124:O124)</f>
        <v>31272.727211008641</v>
      </c>
      <c r="D124" s="80">
        <f t="shared" ref="D124:O124" si="60">D108-D121</f>
        <v>1742</v>
      </c>
      <c r="E124" s="80">
        <f t="shared" si="60"/>
        <v>1918.4300410958904</v>
      </c>
      <c r="F124" s="80">
        <f t="shared" si="60"/>
        <v>2072.0635934794523</v>
      </c>
      <c r="G124" s="80">
        <f t="shared" si="60"/>
        <v>2411.0848705475073</v>
      </c>
      <c r="H124" s="80">
        <f t="shared" si="60"/>
        <v>2936.6467394209808</v>
      </c>
      <c r="I124" s="80">
        <f t="shared" si="60"/>
        <v>3588.9597433014292</v>
      </c>
      <c r="J124" s="80">
        <f t="shared" si="60"/>
        <v>3978.1105790281995</v>
      </c>
      <c r="K124" s="80">
        <f t="shared" si="60"/>
        <v>4048.5560048802458</v>
      </c>
      <c r="L124" s="80">
        <f t="shared" si="60"/>
        <v>4094.180960371732</v>
      </c>
      <c r="M124" s="80">
        <f t="shared" si="60"/>
        <v>4140.4618463162051</v>
      </c>
      <c r="N124" s="80">
        <f t="shared" si="60"/>
        <v>342.23283256699506</v>
      </c>
      <c r="O124" s="80">
        <f t="shared" si="60"/>
        <v>0</v>
      </c>
    </row>
    <row r="125" spans="1:29" s="211" customFormat="1" ht="37.5" customHeight="1" x14ac:dyDescent="0.25">
      <c r="A125" s="322" t="s">
        <v>30</v>
      </c>
      <c r="B125" s="414"/>
      <c r="C125" s="323" t="str">
        <f>IF(C124=C108,"OK","ERROR: Sales do not equal Production!")</f>
        <v>OK</v>
      </c>
      <c r="D125" s="210"/>
      <c r="E125" s="210"/>
      <c r="F125" s="210"/>
      <c r="G125" s="210"/>
      <c r="H125" s="210"/>
      <c r="I125" s="210"/>
      <c r="J125" s="210"/>
      <c r="K125" s="210"/>
      <c r="L125" s="210"/>
      <c r="M125" s="210"/>
      <c r="N125" s="210"/>
      <c r="O125" s="210"/>
    </row>
    <row r="126" spans="1:29" s="69" customFormat="1" ht="45.6" customHeight="1" x14ac:dyDescent="0.25">
      <c r="A126" s="69" t="str">
        <f>A$52</f>
        <v>Years --&gt;</v>
      </c>
      <c r="B126" s="375"/>
      <c r="C126" s="71" t="str">
        <f t="shared" ref="C126:O126" si="61">C$52</f>
        <v>Total</v>
      </c>
      <c r="D126" s="72">
        <f t="shared" si="61"/>
        <v>2019</v>
      </c>
      <c r="E126" s="72">
        <f t="shared" si="61"/>
        <v>2020</v>
      </c>
      <c r="F126" s="72">
        <f t="shared" si="61"/>
        <v>2021</v>
      </c>
      <c r="G126" s="72">
        <f t="shared" si="61"/>
        <v>2022</v>
      </c>
      <c r="H126" s="72">
        <f t="shared" si="61"/>
        <v>2023</v>
      </c>
      <c r="I126" s="72">
        <f t="shared" si="61"/>
        <v>2024</v>
      </c>
      <c r="J126" s="72">
        <f t="shared" si="61"/>
        <v>2025</v>
      </c>
      <c r="K126" s="72">
        <f t="shared" si="61"/>
        <v>2026</v>
      </c>
      <c r="L126" s="72">
        <f t="shared" si="61"/>
        <v>2027</v>
      </c>
      <c r="M126" s="72">
        <f t="shared" si="61"/>
        <v>2028</v>
      </c>
      <c r="N126" s="72">
        <f t="shared" si="61"/>
        <v>2029</v>
      </c>
      <c r="O126" s="72">
        <f t="shared" si="61"/>
        <v>2030</v>
      </c>
      <c r="P126" s="70"/>
      <c r="Q126" s="70"/>
      <c r="R126" s="70"/>
      <c r="S126" s="70"/>
      <c r="T126" s="70"/>
      <c r="U126" s="70"/>
      <c r="V126" s="70"/>
      <c r="W126" s="70"/>
      <c r="X126" s="70"/>
      <c r="Y126" s="70"/>
      <c r="Z126" s="70"/>
      <c r="AA126" s="70"/>
      <c r="AB126" s="70"/>
      <c r="AC126" s="70"/>
    </row>
    <row r="164" spans="1:4" ht="14.45" customHeight="1" x14ac:dyDescent="0.25"/>
    <row r="168" spans="1:4" x14ac:dyDescent="0.25">
      <c r="A168" s="38" t="s">
        <v>5</v>
      </c>
    </row>
    <row r="169" spans="1:4" x14ac:dyDescent="0.25">
      <c r="A169" s="8" t="s">
        <v>6</v>
      </c>
    </row>
    <row r="170" spans="1:4" x14ac:dyDescent="0.25">
      <c r="A170" s="42" t="s">
        <v>2</v>
      </c>
      <c r="B170" s="415" t="s">
        <v>15</v>
      </c>
      <c r="C170" s="2">
        <v>0.36</v>
      </c>
      <c r="D170" s="2">
        <v>0.36</v>
      </c>
    </row>
  </sheetData>
  <pageMargins left="0.70866141732283472" right="0.70866141732283472" top="0.74803149606299213" bottom="0.74803149606299213"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23"/>
  <sheetViews>
    <sheetView zoomScale="60" zoomScaleNormal="60" workbookViewId="0">
      <selection activeCell="R9" sqref="R9"/>
    </sheetView>
  </sheetViews>
  <sheetFormatPr defaultColWidth="8.85546875" defaultRowHeight="15.75" x14ac:dyDescent="0.25"/>
  <cols>
    <col min="1" max="1" width="53.42578125" style="8" customWidth="1"/>
    <col min="2" max="2" width="28.140625" style="14" customWidth="1"/>
    <col min="3" max="3" width="19.7109375" style="1" customWidth="1"/>
    <col min="4" max="15" width="13.85546875" style="4" customWidth="1"/>
    <col min="16" max="16" width="15.42578125" style="8" customWidth="1"/>
    <col min="17" max="16384" width="8.85546875" style="8"/>
  </cols>
  <sheetData>
    <row r="1" spans="1:15" s="33" customFormat="1" ht="30.75" customHeight="1" x14ac:dyDescent="0.25">
      <c r="A1" s="61" t="str">
        <f>'Intro, Audits &amp; Log'!A1</f>
        <v>Business Model of 'Social Enterprise ABC' incl funding and accounting 10 years - Base Case</v>
      </c>
      <c r="B1" s="274"/>
      <c r="C1" s="32"/>
      <c r="D1" s="32"/>
    </row>
    <row r="2" spans="1:15" s="34" customFormat="1" ht="36" x14ac:dyDescent="0.25">
      <c r="A2" s="47" t="s">
        <v>44</v>
      </c>
      <c r="B2" s="29"/>
      <c r="C2" s="7"/>
      <c r="D2" s="33"/>
      <c r="E2" s="33"/>
      <c r="F2" s="33"/>
      <c r="G2" s="33"/>
      <c r="H2" s="33"/>
      <c r="I2" s="33"/>
      <c r="J2" s="33"/>
      <c r="K2" s="33"/>
      <c r="L2" s="33"/>
      <c r="M2" s="33"/>
      <c r="N2" s="33"/>
      <c r="O2" s="33"/>
    </row>
    <row r="3" spans="1:15" s="49" customFormat="1" x14ac:dyDescent="0.25">
      <c r="A3" s="52"/>
      <c r="B3" s="165"/>
      <c r="C3" s="53"/>
      <c r="D3" s="48"/>
      <c r="E3" s="48"/>
      <c r="F3" s="48"/>
      <c r="G3" s="48"/>
      <c r="H3" s="48"/>
      <c r="I3" s="48"/>
      <c r="J3" s="48"/>
      <c r="K3" s="48"/>
      <c r="L3" s="48"/>
      <c r="M3" s="48"/>
      <c r="N3" s="48"/>
      <c r="O3" s="48"/>
    </row>
    <row r="4" spans="1:15" ht="17.25" customHeight="1" x14ac:dyDescent="0.25">
      <c r="A4" s="9"/>
      <c r="C4" s="36"/>
    </row>
    <row r="5" spans="1:15" ht="17.25" customHeight="1" x14ac:dyDescent="0.25">
      <c r="A5" s="9"/>
      <c r="C5" s="36"/>
    </row>
    <row r="6" spans="1:15" ht="17.25" customHeight="1" x14ac:dyDescent="0.25">
      <c r="A6" s="9"/>
      <c r="C6" s="36"/>
    </row>
    <row r="7" spans="1:15" ht="17.25" customHeight="1" x14ac:dyDescent="0.25">
      <c r="A7" s="9"/>
      <c r="C7" s="36"/>
      <c r="H7" s="37"/>
    </row>
    <row r="8" spans="1:15" ht="17.25" customHeight="1" x14ac:dyDescent="0.25">
      <c r="A8" s="9"/>
      <c r="C8" s="36"/>
    </row>
    <row r="9" spans="1:15" ht="17.25" customHeight="1" x14ac:dyDescent="0.25">
      <c r="A9" s="9"/>
      <c r="C9" s="36"/>
    </row>
    <row r="10" spans="1:15" ht="17.25" customHeight="1" x14ac:dyDescent="0.25">
      <c r="A10" s="9"/>
      <c r="C10" s="36"/>
    </row>
    <row r="11" spans="1:15" ht="17.25" customHeight="1" x14ac:dyDescent="0.25">
      <c r="A11" s="9"/>
      <c r="C11" s="36"/>
    </row>
    <row r="12" spans="1:15" ht="17.25" customHeight="1" x14ac:dyDescent="0.25">
      <c r="A12" s="9"/>
      <c r="C12" s="36"/>
    </row>
    <row r="13" spans="1:15" ht="17.25" customHeight="1" x14ac:dyDescent="0.25">
      <c r="A13" s="9"/>
      <c r="C13" s="36"/>
    </row>
    <row r="14" spans="1:15" ht="17.25" customHeight="1" x14ac:dyDescent="0.25">
      <c r="A14" s="9"/>
      <c r="C14" s="36"/>
    </row>
    <row r="15" spans="1:15" ht="17.25" customHeight="1" x14ac:dyDescent="0.25">
      <c r="A15" s="9"/>
      <c r="C15" s="36"/>
    </row>
    <row r="16" spans="1:15" ht="17.25" customHeight="1" x14ac:dyDescent="0.25">
      <c r="A16" s="9"/>
      <c r="C16" s="36"/>
    </row>
    <row r="17" spans="1:16" ht="17.25" customHeight="1" x14ac:dyDescent="0.25">
      <c r="A17" s="9"/>
      <c r="C17" s="36"/>
    </row>
    <row r="18" spans="1:16" ht="17.25" customHeight="1" x14ac:dyDescent="0.25">
      <c r="A18" s="9"/>
      <c r="C18" s="36"/>
    </row>
    <row r="19" spans="1:16" ht="17.25" customHeight="1" x14ac:dyDescent="0.25">
      <c r="A19" s="9"/>
      <c r="C19" s="36"/>
    </row>
    <row r="20" spans="1:16" ht="17.25" customHeight="1" x14ac:dyDescent="0.25">
      <c r="A20" s="9"/>
      <c r="C20" s="36"/>
    </row>
    <row r="21" spans="1:16" ht="17.25" customHeight="1" x14ac:dyDescent="0.25">
      <c r="A21" s="9"/>
      <c r="C21" s="36"/>
    </row>
    <row r="22" spans="1:16" ht="17.25" customHeight="1" x14ac:dyDescent="0.25">
      <c r="A22" s="9"/>
      <c r="C22" s="36"/>
    </row>
    <row r="23" spans="1:16" ht="17.25" customHeight="1" x14ac:dyDescent="0.25">
      <c r="A23" s="9"/>
      <c r="C23" s="36"/>
    </row>
    <row r="24" spans="1:16" ht="17.25" customHeight="1" x14ac:dyDescent="0.25">
      <c r="A24" s="9"/>
      <c r="C24" s="36"/>
    </row>
    <row r="25" spans="1:16" s="83" customFormat="1" ht="28.5" customHeight="1" x14ac:dyDescent="0.25">
      <c r="A25" s="212" t="str">
        <f>'Sales&amp;Revenue'!A$52</f>
        <v>Years --&gt;</v>
      </c>
      <c r="B25" s="309" t="str">
        <f>'Sales&amp;Revenue'!B$52</f>
        <v>units</v>
      </c>
      <c r="C25" s="213" t="str">
        <f>'Sales&amp;Revenue'!C$52</f>
        <v>Total</v>
      </c>
      <c r="D25" s="214">
        <f>'Sales&amp;Revenue'!D$52</f>
        <v>2019</v>
      </c>
      <c r="E25" s="214">
        <f>'Sales&amp;Revenue'!E$52</f>
        <v>2020</v>
      </c>
      <c r="F25" s="214">
        <f>'Sales&amp;Revenue'!F$52</f>
        <v>2021</v>
      </c>
      <c r="G25" s="214">
        <f>'Sales&amp;Revenue'!G$52</f>
        <v>2022</v>
      </c>
      <c r="H25" s="214">
        <f>'Sales&amp;Revenue'!H$52</f>
        <v>2023</v>
      </c>
      <c r="I25" s="214">
        <f>'Sales&amp;Revenue'!I$52</f>
        <v>2024</v>
      </c>
      <c r="J25" s="214">
        <f>'Sales&amp;Revenue'!J$52</f>
        <v>2025</v>
      </c>
      <c r="K25" s="214">
        <f>'Sales&amp;Revenue'!K$52</f>
        <v>2026</v>
      </c>
      <c r="L25" s="214">
        <f>'Sales&amp;Revenue'!L$52</f>
        <v>2027</v>
      </c>
      <c r="M25" s="214">
        <f>'Sales&amp;Revenue'!M$52</f>
        <v>2028</v>
      </c>
      <c r="N25" s="214">
        <f>'Sales&amp;Revenue'!N$52</f>
        <v>2029</v>
      </c>
      <c r="O25" s="214">
        <f>'Sales&amp;Revenue'!O$52</f>
        <v>2030</v>
      </c>
    </row>
    <row r="26" spans="1:16" s="34" customFormat="1" ht="53.25" customHeight="1" x14ac:dyDescent="0.25">
      <c r="A26" s="113" t="s">
        <v>39</v>
      </c>
      <c r="B26" s="29"/>
      <c r="C26" s="7"/>
      <c r="D26" s="7"/>
      <c r="E26" s="7"/>
      <c r="F26" s="7"/>
      <c r="G26" s="7"/>
      <c r="H26" s="7"/>
      <c r="I26" s="7"/>
      <c r="J26" s="7"/>
      <c r="K26" s="7"/>
      <c r="L26" s="7"/>
      <c r="M26" s="7"/>
      <c r="N26" s="7"/>
      <c r="O26" s="7"/>
    </row>
    <row r="27" spans="1:16" x14ac:dyDescent="0.25">
      <c r="A27" s="43" t="s">
        <v>124</v>
      </c>
      <c r="D27" s="1"/>
      <c r="E27" s="1"/>
      <c r="F27" s="1"/>
      <c r="G27" s="1"/>
      <c r="H27" s="1"/>
      <c r="I27" s="1"/>
      <c r="J27" s="1"/>
      <c r="K27" s="1"/>
      <c r="L27" s="1"/>
      <c r="M27" s="1"/>
      <c r="N27" s="1"/>
      <c r="O27" s="1"/>
    </row>
    <row r="28" spans="1:16" s="9" customFormat="1" x14ac:dyDescent="0.25">
      <c r="A28" s="216" t="str">
        <f>'Sales&amp;Revenue'!A$65</f>
        <v>Total ABC units sold</v>
      </c>
      <c r="B28" s="310" t="str">
        <f>'Sales&amp;Revenue'!B$65</f>
        <v>units</v>
      </c>
      <c r="C28" s="215">
        <f>'Sales&amp;Revenue'!C$65</f>
        <v>735565.2536666526</v>
      </c>
      <c r="D28" s="215">
        <f>'Sales&amp;Revenue'!D$65</f>
        <v>40000</v>
      </c>
      <c r="E28" s="215">
        <f>'Sales&amp;Revenue'!E$65</f>
        <v>42250</v>
      </c>
      <c r="F28" s="215">
        <f>'Sales&amp;Revenue'!F$65</f>
        <v>46475</v>
      </c>
      <c r="G28" s="215">
        <f>'Sales&amp;Revenue'!G$65</f>
        <v>55165</v>
      </c>
      <c r="H28" s="215">
        <f>'Sales&amp;Revenue'!H$65</f>
        <v>68304.500000000015</v>
      </c>
      <c r="I28" s="215">
        <f>'Sales&amp;Revenue'!I$65</f>
        <v>84836.950000000012</v>
      </c>
      <c r="J28" s="215">
        <f>'Sales&amp;Revenue'!J$65</f>
        <v>95260.357500000013</v>
      </c>
      <c r="K28" s="215">
        <f>'Sales&amp;Revenue'!K$65</f>
        <v>98118.168225000016</v>
      </c>
      <c r="L28" s="215">
        <f>'Sales&amp;Revenue'!L$65</f>
        <v>101061.71327175002</v>
      </c>
      <c r="M28" s="215">
        <f>'Sales&amp;Revenue'!M$65</f>
        <v>104093.56466990251</v>
      </c>
      <c r="N28" s="215">
        <f>'Sales&amp;Revenue'!N$65</f>
        <v>0</v>
      </c>
      <c r="O28" s="215">
        <f>'Sales&amp;Revenue'!O$65</f>
        <v>0</v>
      </c>
    </row>
    <row r="29" spans="1:16" s="46" customFormat="1" ht="45" customHeight="1" x14ac:dyDescent="0.25">
      <c r="A29" s="28" t="s">
        <v>40</v>
      </c>
      <c r="B29" s="29"/>
      <c r="C29" s="62"/>
      <c r="D29" s="74"/>
      <c r="E29" s="74"/>
      <c r="F29" s="74"/>
      <c r="G29" s="74"/>
      <c r="H29" s="74"/>
      <c r="I29" s="74"/>
      <c r="J29" s="74"/>
      <c r="K29" s="74"/>
      <c r="L29" s="74"/>
      <c r="M29" s="74"/>
      <c r="N29" s="74"/>
      <c r="O29" s="74"/>
    </row>
    <row r="30" spans="1:16" s="17" customFormat="1" x14ac:dyDescent="0.25">
      <c r="A30" s="43" t="s">
        <v>333</v>
      </c>
      <c r="B30" s="14"/>
      <c r="C30" s="40"/>
      <c r="D30" s="40"/>
      <c r="E30" s="40"/>
      <c r="F30" s="40"/>
      <c r="G30" s="40"/>
      <c r="H30" s="40"/>
      <c r="I30" s="40"/>
      <c r="J30" s="40"/>
      <c r="K30" s="40"/>
      <c r="L30" s="40"/>
      <c r="M30" s="40"/>
      <c r="N30" s="40"/>
      <c r="O30" s="40"/>
    </row>
    <row r="31" spans="1:16" x14ac:dyDescent="0.25">
      <c r="A31" s="81" t="s">
        <v>125</v>
      </c>
      <c r="B31" s="311" t="s">
        <v>25</v>
      </c>
      <c r="C31" s="39">
        <f t="shared" ref="C31:C32" si="0">SUM(D31:O31)</f>
        <v>680</v>
      </c>
      <c r="D31" s="50">
        <v>200</v>
      </c>
      <c r="E31" s="50">
        <v>200</v>
      </c>
      <c r="F31" s="50">
        <v>100</v>
      </c>
      <c r="G31" s="50">
        <v>20</v>
      </c>
      <c r="H31" s="50">
        <f t="shared" ref="H31:O31" si="1">G31</f>
        <v>20</v>
      </c>
      <c r="I31" s="50">
        <f t="shared" si="1"/>
        <v>20</v>
      </c>
      <c r="J31" s="50">
        <f t="shared" si="1"/>
        <v>20</v>
      </c>
      <c r="K31" s="50">
        <f t="shared" si="1"/>
        <v>20</v>
      </c>
      <c r="L31" s="50">
        <f t="shared" si="1"/>
        <v>20</v>
      </c>
      <c r="M31" s="50">
        <f t="shared" si="1"/>
        <v>20</v>
      </c>
      <c r="N31" s="50">
        <f t="shared" si="1"/>
        <v>20</v>
      </c>
      <c r="O31" s="50">
        <f t="shared" si="1"/>
        <v>20</v>
      </c>
      <c r="P31" s="46"/>
    </row>
    <row r="32" spans="1:16" x14ac:dyDescent="0.25">
      <c r="A32" s="81" t="s">
        <v>126</v>
      </c>
      <c r="B32" s="311" t="s">
        <v>25</v>
      </c>
      <c r="C32" s="39">
        <f t="shared" si="0"/>
        <v>70</v>
      </c>
      <c r="D32" s="50">
        <v>15</v>
      </c>
      <c r="E32" s="50">
        <v>5</v>
      </c>
      <c r="F32" s="50">
        <f t="shared" ref="F32:O32" si="2">E32</f>
        <v>5</v>
      </c>
      <c r="G32" s="50">
        <f t="shared" si="2"/>
        <v>5</v>
      </c>
      <c r="H32" s="50">
        <f t="shared" si="2"/>
        <v>5</v>
      </c>
      <c r="I32" s="50">
        <f t="shared" si="2"/>
        <v>5</v>
      </c>
      <c r="J32" s="50">
        <f t="shared" si="2"/>
        <v>5</v>
      </c>
      <c r="K32" s="50">
        <f t="shared" si="2"/>
        <v>5</v>
      </c>
      <c r="L32" s="50">
        <f t="shared" si="2"/>
        <v>5</v>
      </c>
      <c r="M32" s="50">
        <f t="shared" si="2"/>
        <v>5</v>
      </c>
      <c r="N32" s="50">
        <f t="shared" si="2"/>
        <v>5</v>
      </c>
      <c r="O32" s="50">
        <f t="shared" si="2"/>
        <v>5</v>
      </c>
    </row>
    <row r="33" spans="1:15" x14ac:dyDescent="0.25">
      <c r="A33" s="51" t="s">
        <v>127</v>
      </c>
      <c r="B33" s="311" t="s">
        <v>25</v>
      </c>
      <c r="C33" s="39">
        <f t="shared" ref="C33" si="3">SUM(D33:O33)</f>
        <v>180</v>
      </c>
      <c r="D33" s="50">
        <v>50</v>
      </c>
      <c r="E33" s="50">
        <v>20</v>
      </c>
      <c r="F33" s="50">
        <f t="shared" ref="F33:O33" si="4">E33</f>
        <v>20</v>
      </c>
      <c r="G33" s="50">
        <v>10</v>
      </c>
      <c r="H33" s="50">
        <f t="shared" si="4"/>
        <v>10</v>
      </c>
      <c r="I33" s="50">
        <f t="shared" si="4"/>
        <v>10</v>
      </c>
      <c r="J33" s="50">
        <f t="shared" si="4"/>
        <v>10</v>
      </c>
      <c r="K33" s="50">
        <f t="shared" si="4"/>
        <v>10</v>
      </c>
      <c r="L33" s="50">
        <f t="shared" si="4"/>
        <v>10</v>
      </c>
      <c r="M33" s="50">
        <f t="shared" si="4"/>
        <v>10</v>
      </c>
      <c r="N33" s="50">
        <f t="shared" si="4"/>
        <v>10</v>
      </c>
      <c r="O33" s="50">
        <f t="shared" si="4"/>
        <v>10</v>
      </c>
    </row>
    <row r="34" spans="1:15" x14ac:dyDescent="0.25">
      <c r="A34" s="51" t="s">
        <v>128</v>
      </c>
      <c r="B34" s="311" t="s">
        <v>25</v>
      </c>
      <c r="C34" s="39">
        <f t="shared" ref="C34:C35" si="5">SUM(D34:O34)</f>
        <v>330</v>
      </c>
      <c r="D34" s="50">
        <v>50</v>
      </c>
      <c r="E34" s="50">
        <f>D34</f>
        <v>50</v>
      </c>
      <c r="F34" s="50">
        <f t="shared" ref="F34:O34" si="6">E34</f>
        <v>50</v>
      </c>
      <c r="G34" s="50">
        <v>20</v>
      </c>
      <c r="H34" s="50">
        <f t="shared" si="6"/>
        <v>20</v>
      </c>
      <c r="I34" s="50">
        <f t="shared" si="6"/>
        <v>20</v>
      </c>
      <c r="J34" s="50">
        <f t="shared" si="6"/>
        <v>20</v>
      </c>
      <c r="K34" s="50">
        <f t="shared" si="6"/>
        <v>20</v>
      </c>
      <c r="L34" s="50">
        <f t="shared" si="6"/>
        <v>20</v>
      </c>
      <c r="M34" s="50">
        <f t="shared" si="6"/>
        <v>20</v>
      </c>
      <c r="N34" s="50">
        <f t="shared" si="6"/>
        <v>20</v>
      </c>
      <c r="O34" s="50">
        <f t="shared" si="6"/>
        <v>20</v>
      </c>
    </row>
    <row r="35" spans="1:15" s="77" customFormat="1" ht="36.6" customHeight="1" x14ac:dyDescent="0.25">
      <c r="A35" s="75" t="s">
        <v>42</v>
      </c>
      <c r="B35" s="29" t="s">
        <v>25</v>
      </c>
      <c r="C35" s="76">
        <f t="shared" si="5"/>
        <v>1150</v>
      </c>
      <c r="D35" s="80">
        <f>IF(D28&gt;0,SUM(D31:D34),0)</f>
        <v>315</v>
      </c>
      <c r="E35" s="80">
        <f t="shared" ref="E35:O35" si="7">IF(E28&gt;0,SUM(E31:E34),0)</f>
        <v>275</v>
      </c>
      <c r="F35" s="80">
        <f t="shared" si="7"/>
        <v>175</v>
      </c>
      <c r="G35" s="80">
        <f t="shared" si="7"/>
        <v>55</v>
      </c>
      <c r="H35" s="80">
        <f t="shared" si="7"/>
        <v>55</v>
      </c>
      <c r="I35" s="80">
        <f t="shared" si="7"/>
        <v>55</v>
      </c>
      <c r="J35" s="80">
        <f t="shared" si="7"/>
        <v>55</v>
      </c>
      <c r="K35" s="80">
        <f t="shared" si="7"/>
        <v>55</v>
      </c>
      <c r="L35" s="80">
        <f t="shared" si="7"/>
        <v>55</v>
      </c>
      <c r="M35" s="80">
        <f t="shared" si="7"/>
        <v>55</v>
      </c>
      <c r="N35" s="80">
        <f t="shared" si="7"/>
        <v>0</v>
      </c>
      <c r="O35" s="80">
        <f t="shared" si="7"/>
        <v>0</v>
      </c>
    </row>
    <row r="36" spans="1:15" x14ac:dyDescent="0.25">
      <c r="A36" s="82"/>
      <c r="B36" s="287"/>
      <c r="C36" s="39"/>
      <c r="D36" s="73"/>
      <c r="E36" s="73"/>
      <c r="F36" s="73"/>
      <c r="G36" s="73"/>
      <c r="H36" s="73"/>
      <c r="I36" s="73"/>
      <c r="J36" s="73"/>
      <c r="K36" s="73"/>
      <c r="L36" s="73"/>
      <c r="M36" s="73"/>
      <c r="N36" s="73"/>
      <c r="O36" s="73"/>
    </row>
    <row r="37" spans="1:15" s="46" customFormat="1" ht="40.35" customHeight="1" x14ac:dyDescent="0.25">
      <c r="A37" s="87" t="s">
        <v>41</v>
      </c>
      <c r="B37" s="29"/>
      <c r="C37" s="62"/>
      <c r="D37" s="62"/>
      <c r="E37" s="62"/>
      <c r="F37" s="62"/>
      <c r="G37" s="62"/>
      <c r="H37" s="62"/>
      <c r="I37" s="62"/>
      <c r="J37" s="62"/>
      <c r="K37" s="62"/>
      <c r="L37" s="62"/>
      <c r="M37" s="62"/>
      <c r="N37" s="62"/>
      <c r="O37" s="62"/>
    </row>
    <row r="38" spans="1:15" s="17" customFormat="1" x14ac:dyDescent="0.25">
      <c r="A38" s="43" t="s">
        <v>338</v>
      </c>
      <c r="B38" s="14"/>
      <c r="C38" s="40"/>
      <c r="D38" s="40"/>
      <c r="E38" s="40"/>
      <c r="F38" s="40"/>
      <c r="G38" s="40"/>
      <c r="H38" s="40"/>
      <c r="I38" s="40"/>
      <c r="J38" s="40"/>
      <c r="K38" s="40"/>
      <c r="L38" s="40"/>
      <c r="M38" s="40"/>
      <c r="N38" s="40"/>
      <c r="O38" s="40"/>
    </row>
    <row r="39" spans="1:15" s="17" customFormat="1" x14ac:dyDescent="0.25">
      <c r="A39" s="43" t="s">
        <v>130</v>
      </c>
      <c r="B39" s="14"/>
      <c r="C39" s="40"/>
      <c r="D39" s="40"/>
      <c r="E39" s="40"/>
      <c r="F39" s="40"/>
      <c r="G39" s="40"/>
      <c r="H39" s="40"/>
      <c r="I39" s="40"/>
      <c r="J39" s="40"/>
      <c r="K39" s="40"/>
      <c r="L39" s="40"/>
      <c r="M39" s="40"/>
      <c r="N39" s="40"/>
      <c r="O39" s="40"/>
    </row>
    <row r="40" spans="1:15" s="17" customFormat="1" x14ac:dyDescent="0.25">
      <c r="A40" s="43" t="s">
        <v>341</v>
      </c>
      <c r="B40" s="14"/>
      <c r="C40" s="40"/>
      <c r="D40" s="40"/>
      <c r="E40" s="40"/>
      <c r="F40" s="40"/>
      <c r="G40" s="40"/>
      <c r="H40" s="40"/>
      <c r="I40" s="40"/>
      <c r="J40" s="40"/>
      <c r="K40" s="40"/>
      <c r="L40" s="40"/>
      <c r="M40" s="40"/>
      <c r="N40" s="40"/>
      <c r="O40" s="40"/>
    </row>
    <row r="41" spans="1:15" s="17" customFormat="1" x14ac:dyDescent="0.25">
      <c r="A41" s="43" t="s">
        <v>342</v>
      </c>
      <c r="B41" s="14"/>
      <c r="C41" s="40"/>
      <c r="D41" s="40"/>
      <c r="E41" s="40"/>
      <c r="F41" s="40"/>
      <c r="G41" s="40"/>
      <c r="H41" s="40"/>
      <c r="I41" s="40"/>
      <c r="J41" s="40"/>
      <c r="K41" s="40"/>
      <c r="L41" s="40"/>
      <c r="M41" s="40"/>
      <c r="N41" s="40"/>
      <c r="O41" s="40"/>
    </row>
    <row r="42" spans="1:15" s="17" customFormat="1" x14ac:dyDescent="0.25">
      <c r="A42" s="43" t="s">
        <v>131</v>
      </c>
      <c r="B42" s="14"/>
      <c r="C42" s="40"/>
      <c r="D42" s="40"/>
      <c r="E42" s="40"/>
      <c r="F42" s="40"/>
      <c r="G42" s="40"/>
      <c r="H42" s="40"/>
      <c r="I42" s="40"/>
      <c r="J42" s="40"/>
      <c r="K42" s="40"/>
      <c r="L42" s="40"/>
      <c r="M42" s="40"/>
      <c r="N42" s="40"/>
      <c r="O42" s="40"/>
    </row>
    <row r="43" spans="1:15" s="17" customFormat="1" x14ac:dyDescent="0.25">
      <c r="A43" s="43" t="s">
        <v>337</v>
      </c>
      <c r="B43" s="14"/>
      <c r="C43" s="40"/>
      <c r="D43" s="40"/>
      <c r="E43" s="40"/>
      <c r="F43" s="40"/>
      <c r="G43" s="40"/>
      <c r="H43" s="40"/>
      <c r="I43" s="40"/>
      <c r="J43" s="40"/>
      <c r="K43" s="40"/>
      <c r="L43" s="40"/>
      <c r="M43" s="40"/>
      <c r="N43" s="40"/>
      <c r="O43" s="40"/>
    </row>
    <row r="44" spans="1:15" s="129" customFormat="1" x14ac:dyDescent="0.25">
      <c r="A44" s="126" t="s">
        <v>339</v>
      </c>
      <c r="B44" s="418" t="s">
        <v>340</v>
      </c>
      <c r="C44" s="127"/>
      <c r="D44" s="419">
        <f>25%*80%+15%*20%</f>
        <v>0.23</v>
      </c>
      <c r="E44" s="419">
        <f>D44</f>
        <v>0.23</v>
      </c>
      <c r="F44" s="419">
        <f t="shared" ref="F44:O44" si="8">E44</f>
        <v>0.23</v>
      </c>
      <c r="G44" s="419">
        <f t="shared" si="8"/>
        <v>0.23</v>
      </c>
      <c r="H44" s="419">
        <f t="shared" si="8"/>
        <v>0.23</v>
      </c>
      <c r="I44" s="419">
        <f t="shared" si="8"/>
        <v>0.23</v>
      </c>
      <c r="J44" s="419">
        <f t="shared" si="8"/>
        <v>0.23</v>
      </c>
      <c r="K44" s="419">
        <f t="shared" si="8"/>
        <v>0.23</v>
      </c>
      <c r="L44" s="419">
        <f t="shared" si="8"/>
        <v>0.23</v>
      </c>
      <c r="M44" s="419">
        <f t="shared" si="8"/>
        <v>0.23</v>
      </c>
      <c r="N44" s="419">
        <f t="shared" si="8"/>
        <v>0.23</v>
      </c>
      <c r="O44" s="419">
        <f t="shared" si="8"/>
        <v>0.23</v>
      </c>
    </row>
    <row r="45" spans="1:15" s="17" customFormat="1" x14ac:dyDescent="0.25">
      <c r="A45" s="43"/>
      <c r="B45" s="14"/>
      <c r="C45" s="40"/>
      <c r="D45" s="40"/>
      <c r="E45" s="40"/>
      <c r="F45" s="40"/>
      <c r="G45" s="40"/>
      <c r="H45" s="40"/>
      <c r="I45" s="40"/>
      <c r="J45" s="40"/>
      <c r="K45" s="40"/>
      <c r="L45" s="40"/>
      <c r="M45" s="40"/>
      <c r="N45" s="40"/>
      <c r="O45" s="40"/>
    </row>
    <row r="46" spans="1:15" s="134" customFormat="1" ht="20.25" customHeight="1" x14ac:dyDescent="0.3">
      <c r="A46" s="416" t="s">
        <v>393</v>
      </c>
      <c r="B46" s="282"/>
      <c r="C46" s="135"/>
      <c r="D46" s="127"/>
      <c r="E46" s="127"/>
      <c r="F46" s="127"/>
      <c r="G46" s="127"/>
      <c r="H46" s="127"/>
      <c r="I46" s="127"/>
      <c r="J46" s="127"/>
      <c r="K46" s="127"/>
      <c r="L46" s="127"/>
      <c r="M46" s="127"/>
      <c r="N46" s="127"/>
      <c r="O46" s="127"/>
    </row>
    <row r="47" spans="1:15" s="17" customFormat="1" x14ac:dyDescent="0.25">
      <c r="A47" s="43" t="s">
        <v>392</v>
      </c>
      <c r="B47" s="14"/>
      <c r="C47" s="40"/>
      <c r="D47" s="40"/>
      <c r="E47" s="40"/>
      <c r="F47" s="40"/>
      <c r="G47" s="40"/>
      <c r="H47" s="40"/>
      <c r="I47" s="40"/>
      <c r="J47" s="40"/>
      <c r="K47" s="40"/>
      <c r="L47" s="40"/>
      <c r="M47" s="40"/>
      <c r="N47" s="40"/>
      <c r="O47" s="40"/>
    </row>
    <row r="48" spans="1:15" x14ac:dyDescent="0.25">
      <c r="A48" s="43" t="s">
        <v>356</v>
      </c>
      <c r="B48" s="312"/>
      <c r="C48" s="39"/>
      <c r="D48" s="39"/>
      <c r="E48" s="39"/>
      <c r="F48" s="73"/>
      <c r="G48" s="73"/>
      <c r="H48" s="73"/>
      <c r="I48" s="73"/>
      <c r="J48" s="73"/>
      <c r="K48" s="73"/>
      <c r="L48" s="73"/>
      <c r="M48" s="73"/>
      <c r="N48" s="73"/>
      <c r="O48" s="73"/>
    </row>
    <row r="49" spans="1:15" s="129" customFormat="1" ht="16.5" thickBot="1" x14ac:dyDescent="0.3">
      <c r="A49" s="126" t="s">
        <v>390</v>
      </c>
      <c r="B49" s="277"/>
      <c r="C49" s="127"/>
      <c r="D49" s="128">
        <v>0.08</v>
      </c>
      <c r="E49" s="128">
        <f>D49</f>
        <v>0.08</v>
      </c>
      <c r="F49" s="128">
        <f t="shared" ref="F49:O49" si="9">E49</f>
        <v>0.08</v>
      </c>
      <c r="G49" s="128">
        <f t="shared" si="9"/>
        <v>0.08</v>
      </c>
      <c r="H49" s="128">
        <f t="shared" si="9"/>
        <v>0.08</v>
      </c>
      <c r="I49" s="128">
        <f t="shared" si="9"/>
        <v>0.08</v>
      </c>
      <c r="J49" s="128">
        <f t="shared" si="9"/>
        <v>0.08</v>
      </c>
      <c r="K49" s="128">
        <f t="shared" si="9"/>
        <v>0.08</v>
      </c>
      <c r="L49" s="128">
        <f t="shared" si="9"/>
        <v>0.08</v>
      </c>
      <c r="M49" s="128">
        <f t="shared" si="9"/>
        <v>0.08</v>
      </c>
      <c r="N49" s="128">
        <f t="shared" si="9"/>
        <v>0.08</v>
      </c>
      <c r="O49" s="128">
        <f t="shared" si="9"/>
        <v>0.08</v>
      </c>
    </row>
    <row r="50" spans="1:15" s="130" customFormat="1" ht="16.5" thickBot="1" x14ac:dyDescent="0.3">
      <c r="A50" s="130" t="s">
        <v>391</v>
      </c>
      <c r="B50" s="278"/>
      <c r="C50" s="131"/>
      <c r="D50" s="417">
        <f>(1+D49)^0.5</f>
        <v>1.0392304845413265</v>
      </c>
      <c r="E50" s="132">
        <f>D50*(1+E49)</f>
        <v>1.1223689233046328</v>
      </c>
      <c r="F50" s="132">
        <f t="shared" ref="F50:O50" si="10">E50*(1+F49)</f>
        <v>1.2121584371690035</v>
      </c>
      <c r="G50" s="132">
        <f t="shared" si="10"/>
        <v>1.309131112142524</v>
      </c>
      <c r="H50" s="132">
        <f t="shared" si="10"/>
        <v>1.413861601113926</v>
      </c>
      <c r="I50" s="132">
        <f t="shared" si="10"/>
        <v>1.5269705292030402</v>
      </c>
      <c r="J50" s="132">
        <f t="shared" si="10"/>
        <v>1.6491281715392836</v>
      </c>
      <c r="K50" s="132">
        <f t="shared" si="10"/>
        <v>1.7810584252624264</v>
      </c>
      <c r="L50" s="132">
        <f t="shared" si="10"/>
        <v>1.9235430992834206</v>
      </c>
      <c r="M50" s="132">
        <f t="shared" si="10"/>
        <v>2.0774265472260942</v>
      </c>
      <c r="N50" s="132">
        <f t="shared" si="10"/>
        <v>2.2436206710041819</v>
      </c>
      <c r="O50" s="132">
        <f t="shared" si="10"/>
        <v>2.4231103246845165</v>
      </c>
    </row>
    <row r="51" spans="1:15" ht="25.5" customHeight="1" thickBot="1" x14ac:dyDescent="0.3">
      <c r="A51" s="82"/>
      <c r="B51" s="312"/>
      <c r="C51" s="39"/>
      <c r="D51" s="39"/>
      <c r="E51" s="39"/>
      <c r="F51" s="73"/>
      <c r="G51" s="73"/>
      <c r="H51" s="73"/>
      <c r="I51" s="73"/>
      <c r="J51" s="73"/>
      <c r="K51" s="73"/>
      <c r="L51" s="73"/>
      <c r="M51" s="73"/>
      <c r="N51" s="73"/>
      <c r="O51" s="73"/>
    </row>
    <row r="52" spans="1:15" s="129" customFormat="1" ht="16.5" thickBot="1" x14ac:dyDescent="0.3">
      <c r="A52" s="143" t="s">
        <v>335</v>
      </c>
      <c r="B52" s="446" t="s">
        <v>389</v>
      </c>
      <c r="C52" s="135"/>
      <c r="D52" s="137">
        <v>0</v>
      </c>
      <c r="E52" s="127">
        <f>D56</f>
        <v>252.06535402549872</v>
      </c>
      <c r="F52" s="127">
        <f t="shared" ref="F52:O52" si="11">E56</f>
        <v>431.75194210939003</v>
      </c>
      <c r="G52" s="127">
        <f t="shared" si="11"/>
        <v>495.78734483275349</v>
      </c>
      <c r="H52" s="127">
        <f t="shared" si="11"/>
        <v>437.19795812045606</v>
      </c>
      <c r="I52" s="127">
        <f t="shared" si="11"/>
        <v>396.51946655992595</v>
      </c>
      <c r="J52" s="127">
        <f t="shared" si="11"/>
        <v>369.98719116289169</v>
      </c>
      <c r="K52" s="127">
        <f t="shared" si="11"/>
        <v>354.73071526011523</v>
      </c>
      <c r="L52" s="127">
        <f t="shared" si="11"/>
        <v>348.57047506015249</v>
      </c>
      <c r="M52" s="127">
        <f t="shared" si="11"/>
        <v>349.86131605097029</v>
      </c>
      <c r="N52" s="127">
        <f t="shared" si="11"/>
        <v>0</v>
      </c>
      <c r="O52" s="127">
        <f t="shared" si="11"/>
        <v>0</v>
      </c>
    </row>
    <row r="53" spans="1:15" s="129" customFormat="1" x14ac:dyDescent="0.25">
      <c r="A53" s="143" t="s">
        <v>334</v>
      </c>
      <c r="B53" s="446" t="s">
        <v>389</v>
      </c>
      <c r="C53" s="135">
        <f>SUM(D53:O53)</f>
        <v>1490.5983547612566</v>
      </c>
      <c r="D53" s="127">
        <f t="shared" ref="D53:O53" si="12">D35*D50</f>
        <v>327.35760263051782</v>
      </c>
      <c r="E53" s="127">
        <f t="shared" si="12"/>
        <v>308.65145390877399</v>
      </c>
      <c r="F53" s="127">
        <f t="shared" si="12"/>
        <v>212.12772650457561</v>
      </c>
      <c r="G53" s="127">
        <f t="shared" si="12"/>
        <v>72.002211167838823</v>
      </c>
      <c r="H53" s="127">
        <f t="shared" si="12"/>
        <v>77.762388061265924</v>
      </c>
      <c r="I53" s="127">
        <f t="shared" si="12"/>
        <v>83.983379106167206</v>
      </c>
      <c r="J53" s="127">
        <f t="shared" si="12"/>
        <v>90.702049434660594</v>
      </c>
      <c r="K53" s="127">
        <f t="shared" si="12"/>
        <v>97.958213389433453</v>
      </c>
      <c r="L53" s="127">
        <f t="shared" si="12"/>
        <v>105.79487046058813</v>
      </c>
      <c r="M53" s="127">
        <f t="shared" si="12"/>
        <v>114.25846009743518</v>
      </c>
      <c r="N53" s="127">
        <f t="shared" si="12"/>
        <v>0</v>
      </c>
      <c r="O53" s="127">
        <f t="shared" si="12"/>
        <v>0</v>
      </c>
    </row>
    <row r="54" spans="1:15" s="129" customFormat="1" x14ac:dyDescent="0.25">
      <c r="A54" s="143" t="s">
        <v>336</v>
      </c>
      <c r="B54" s="446" t="s">
        <v>389</v>
      </c>
      <c r="C54" s="135"/>
      <c r="D54" s="420">
        <f>SUM(D52:D53)</f>
        <v>327.35760263051782</v>
      </c>
      <c r="E54" s="420">
        <f t="shared" ref="E54:O54" si="13">SUM(E52:E53)</f>
        <v>560.71680793427277</v>
      </c>
      <c r="F54" s="420">
        <f t="shared" si="13"/>
        <v>643.87966861396558</v>
      </c>
      <c r="G54" s="420">
        <f t="shared" si="13"/>
        <v>567.78955600059226</v>
      </c>
      <c r="H54" s="420">
        <f t="shared" si="13"/>
        <v>514.960346181722</v>
      </c>
      <c r="I54" s="420">
        <f t="shared" si="13"/>
        <v>480.50284566609315</v>
      </c>
      <c r="J54" s="420">
        <f t="shared" si="13"/>
        <v>460.68924059755227</v>
      </c>
      <c r="K54" s="420">
        <f t="shared" si="13"/>
        <v>452.6889286495487</v>
      </c>
      <c r="L54" s="420">
        <f t="shared" si="13"/>
        <v>454.36534552074062</v>
      </c>
      <c r="M54" s="420">
        <f t="shared" si="13"/>
        <v>464.11977614840544</v>
      </c>
      <c r="N54" s="420">
        <f t="shared" si="13"/>
        <v>0</v>
      </c>
      <c r="O54" s="420">
        <f t="shared" si="13"/>
        <v>0</v>
      </c>
    </row>
    <row r="55" spans="1:15" s="129" customFormat="1" x14ac:dyDescent="0.25">
      <c r="A55" s="421" t="s">
        <v>129</v>
      </c>
      <c r="B55" s="446" t="s">
        <v>389</v>
      </c>
      <c r="C55" s="135">
        <f>SUM(D55:O55)</f>
        <v>1490.5983547612566</v>
      </c>
      <c r="D55" s="135">
        <f t="shared" ref="D55:O55" si="14">IF(AND(D28&gt;0,E28=0),D54,D54*D44)</f>
        <v>75.292248605019097</v>
      </c>
      <c r="E55" s="135">
        <f t="shared" si="14"/>
        <v>128.96486582488274</v>
      </c>
      <c r="F55" s="135">
        <f t="shared" si="14"/>
        <v>148.09232378121209</v>
      </c>
      <c r="G55" s="135">
        <f t="shared" si="14"/>
        <v>130.59159788013622</v>
      </c>
      <c r="H55" s="135">
        <f t="shared" si="14"/>
        <v>118.44087962179607</v>
      </c>
      <c r="I55" s="135">
        <f t="shared" si="14"/>
        <v>110.51565450320143</v>
      </c>
      <c r="J55" s="135">
        <f t="shared" si="14"/>
        <v>105.95852533743702</v>
      </c>
      <c r="K55" s="135">
        <f t="shared" si="14"/>
        <v>104.11845358939621</v>
      </c>
      <c r="L55" s="135">
        <f t="shared" si="14"/>
        <v>104.50402946977034</v>
      </c>
      <c r="M55" s="135">
        <f t="shared" si="14"/>
        <v>464.11977614840544</v>
      </c>
      <c r="N55" s="135">
        <f t="shared" si="14"/>
        <v>0</v>
      </c>
      <c r="O55" s="135">
        <f t="shared" si="14"/>
        <v>0</v>
      </c>
    </row>
    <row r="56" spans="1:15" s="129" customFormat="1" x14ac:dyDescent="0.25">
      <c r="A56" s="143" t="s">
        <v>343</v>
      </c>
      <c r="B56" s="446" t="s">
        <v>389</v>
      </c>
      <c r="C56" s="135"/>
      <c r="D56" s="127">
        <f>D54-D55</f>
        <v>252.06535402549872</v>
      </c>
      <c r="E56" s="127">
        <f t="shared" ref="E56:O56" si="15">E54-E55</f>
        <v>431.75194210939003</v>
      </c>
      <c r="F56" s="127">
        <f t="shared" si="15"/>
        <v>495.78734483275349</v>
      </c>
      <c r="G56" s="127">
        <f t="shared" si="15"/>
        <v>437.19795812045606</v>
      </c>
      <c r="H56" s="127">
        <f t="shared" si="15"/>
        <v>396.51946655992595</v>
      </c>
      <c r="I56" s="127">
        <f t="shared" si="15"/>
        <v>369.98719116289169</v>
      </c>
      <c r="J56" s="127">
        <f t="shared" si="15"/>
        <v>354.73071526011523</v>
      </c>
      <c r="K56" s="127">
        <f t="shared" si="15"/>
        <v>348.57047506015249</v>
      </c>
      <c r="L56" s="127">
        <f t="shared" si="15"/>
        <v>349.86131605097029</v>
      </c>
      <c r="M56" s="127">
        <f t="shared" si="15"/>
        <v>0</v>
      </c>
      <c r="N56" s="127">
        <f t="shared" si="15"/>
        <v>0</v>
      </c>
      <c r="O56" s="127">
        <f t="shared" si="15"/>
        <v>0</v>
      </c>
    </row>
    <row r="57" spans="1:15" s="105" customFormat="1" ht="21" x14ac:dyDescent="0.35">
      <c r="A57" s="447" t="s">
        <v>129</v>
      </c>
      <c r="B57" s="312" t="s">
        <v>25</v>
      </c>
      <c r="C57" s="39">
        <f>SUM(D57:O57)</f>
        <v>965.87778281292219</v>
      </c>
      <c r="D57" s="106">
        <f t="shared" ref="D57:O57" si="16">D55/D50</f>
        <v>72.449999999999989</v>
      </c>
      <c r="E57" s="106">
        <f t="shared" si="16"/>
        <v>114.90416666666665</v>
      </c>
      <c r="F57" s="106">
        <f t="shared" si="16"/>
        <v>122.17241512345677</v>
      </c>
      <c r="G57" s="106">
        <f t="shared" si="16"/>
        <v>99.754407078760821</v>
      </c>
      <c r="H57" s="106">
        <f t="shared" si="16"/>
        <v>83.771197639486886</v>
      </c>
      <c r="I57" s="106">
        <f t="shared" si="16"/>
        <v>72.375761280004539</v>
      </c>
      <c r="J57" s="106">
        <f t="shared" si="16"/>
        <v>64.251237208892107</v>
      </c>
      <c r="K57" s="106">
        <f t="shared" si="16"/>
        <v>58.458752454487893</v>
      </c>
      <c r="L57" s="106">
        <f t="shared" si="16"/>
        <v>54.328925361070063</v>
      </c>
      <c r="M57" s="106">
        <f t="shared" si="16"/>
        <v>223.41092000009641</v>
      </c>
      <c r="N57" s="106">
        <f t="shared" si="16"/>
        <v>0</v>
      </c>
      <c r="O57" s="106">
        <f t="shared" si="16"/>
        <v>0</v>
      </c>
    </row>
    <row r="58" spans="1:15" s="198" customFormat="1" x14ac:dyDescent="0.25">
      <c r="A58" s="422" t="s">
        <v>344</v>
      </c>
      <c r="B58" s="312" t="s">
        <v>25</v>
      </c>
      <c r="C58" s="183">
        <f>C57-C35</f>
        <v>-184.12221718707781</v>
      </c>
      <c r="D58" s="39"/>
      <c r="E58" s="39"/>
      <c r="F58" s="241"/>
      <c r="G58" s="241"/>
      <c r="H58" s="241"/>
      <c r="I58" s="241"/>
      <c r="J58" s="241"/>
      <c r="K58" s="241"/>
      <c r="L58" s="241"/>
      <c r="M58" s="241"/>
      <c r="N58" s="241"/>
      <c r="O58" s="241"/>
    </row>
    <row r="59" spans="1:15" s="129" customFormat="1" x14ac:dyDescent="0.25">
      <c r="A59" s="143"/>
      <c r="B59" s="285"/>
      <c r="C59" s="135"/>
      <c r="D59" s="135"/>
      <c r="E59" s="135"/>
      <c r="F59" s="138"/>
      <c r="G59" s="138"/>
      <c r="H59" s="138"/>
      <c r="I59" s="138"/>
      <c r="J59" s="138"/>
      <c r="K59" s="138"/>
      <c r="L59" s="138"/>
      <c r="M59" s="138"/>
      <c r="N59" s="138"/>
      <c r="O59" s="138"/>
    </row>
    <row r="60" spans="1:15" s="83" customFormat="1" ht="28.5" customHeight="1" x14ac:dyDescent="0.25">
      <c r="A60" s="212" t="str">
        <f>'Sales&amp;Revenue'!A$52</f>
        <v>Years --&gt;</v>
      </c>
      <c r="B60" s="313" t="str">
        <f>'Sales&amp;Revenue'!B$52</f>
        <v>units</v>
      </c>
      <c r="C60" s="213" t="str">
        <f>'Sales&amp;Revenue'!C$52</f>
        <v>Total</v>
      </c>
      <c r="D60" s="214">
        <f>'Sales&amp;Revenue'!D$52</f>
        <v>2019</v>
      </c>
      <c r="E60" s="214">
        <f>'Sales&amp;Revenue'!E$52</f>
        <v>2020</v>
      </c>
      <c r="F60" s="214">
        <f>'Sales&amp;Revenue'!F$52</f>
        <v>2021</v>
      </c>
      <c r="G60" s="214">
        <f>'Sales&amp;Revenue'!G$52</f>
        <v>2022</v>
      </c>
      <c r="H60" s="214">
        <f>'Sales&amp;Revenue'!H$52</f>
        <v>2023</v>
      </c>
      <c r="I60" s="214">
        <f>'Sales&amp;Revenue'!I$52</f>
        <v>2024</v>
      </c>
      <c r="J60" s="214">
        <f>'Sales&amp;Revenue'!J$52</f>
        <v>2025</v>
      </c>
      <c r="K60" s="214">
        <f>'Sales&amp;Revenue'!K$52</f>
        <v>2026</v>
      </c>
      <c r="L60" s="214">
        <f>'Sales&amp;Revenue'!L$52</f>
        <v>2027</v>
      </c>
      <c r="M60" s="214">
        <f>'Sales&amp;Revenue'!M$52</f>
        <v>2028</v>
      </c>
      <c r="N60" s="214">
        <f>'Sales&amp;Revenue'!N$52</f>
        <v>2029</v>
      </c>
      <c r="O60" s="214">
        <f>'Sales&amp;Revenue'!O$52</f>
        <v>2030</v>
      </c>
    </row>
    <row r="61" spans="1:15" s="34" customFormat="1" ht="53.25" customHeight="1" x14ac:dyDescent="0.25">
      <c r="A61" s="113" t="s">
        <v>7</v>
      </c>
      <c r="B61" s="29"/>
      <c r="C61" s="7"/>
      <c r="D61" s="7"/>
      <c r="E61" s="7"/>
      <c r="F61" s="7"/>
      <c r="G61" s="7"/>
      <c r="H61" s="7"/>
      <c r="I61" s="7"/>
      <c r="J61" s="7"/>
      <c r="K61" s="7"/>
      <c r="L61" s="7"/>
      <c r="M61" s="7"/>
      <c r="N61" s="7"/>
      <c r="O61" s="7"/>
    </row>
    <row r="62" spans="1:15" s="46" customFormat="1" ht="45" customHeight="1" x14ac:dyDescent="0.25">
      <c r="A62" s="28" t="s">
        <v>195</v>
      </c>
      <c r="B62" s="29"/>
      <c r="C62" s="62"/>
      <c r="D62" s="74"/>
      <c r="E62" s="74"/>
      <c r="F62" s="74"/>
      <c r="G62" s="74"/>
      <c r="H62" s="74"/>
      <c r="I62" s="74"/>
      <c r="J62" s="74"/>
      <c r="K62" s="74"/>
      <c r="L62" s="74"/>
      <c r="M62" s="74"/>
      <c r="N62" s="74"/>
      <c r="O62" s="74"/>
    </row>
    <row r="63" spans="1:15" ht="28.7" customHeight="1" x14ac:dyDescent="0.25">
      <c r="A63" s="423" t="s">
        <v>205</v>
      </c>
      <c r="C63" s="39"/>
      <c r="D63" s="39"/>
      <c r="E63" s="39"/>
      <c r="F63" s="39"/>
      <c r="G63" s="39"/>
      <c r="H63" s="39"/>
      <c r="I63" s="39"/>
      <c r="J63" s="39"/>
      <c r="K63" s="39"/>
      <c r="L63" s="39"/>
      <c r="M63" s="39"/>
      <c r="N63" s="39"/>
      <c r="O63" s="8"/>
    </row>
    <row r="64" spans="1:15" x14ac:dyDescent="0.25">
      <c r="A64" s="43" t="s">
        <v>23</v>
      </c>
      <c r="D64" s="1"/>
      <c r="E64" s="1"/>
      <c r="F64" s="1"/>
      <c r="G64" s="1"/>
      <c r="H64" s="1"/>
      <c r="I64" s="1"/>
      <c r="J64" s="1"/>
      <c r="K64" s="1"/>
      <c r="L64" s="1"/>
      <c r="M64" s="1"/>
      <c r="N64" s="1"/>
      <c r="O64" s="1"/>
    </row>
    <row r="65" spans="1:15" x14ac:dyDescent="0.25">
      <c r="A65" s="217" t="str">
        <f>'Sales&amp;Revenue'!A$62</f>
        <v>Product A Sold</v>
      </c>
      <c r="B65" s="310" t="str">
        <f>'Sales&amp;Revenue'!B$62</f>
        <v>units</v>
      </c>
      <c r="C65" s="215">
        <f>'Sales&amp;Revenue'!C$62</f>
        <v>400090.76794514002</v>
      </c>
      <c r="D65" s="219">
        <f>'Sales&amp;Revenue'!D$62</f>
        <v>20000</v>
      </c>
      <c r="E65" s="219">
        <f>'Sales&amp;Revenue'!E$62</f>
        <v>21000</v>
      </c>
      <c r="F65" s="219">
        <f>'Sales&amp;Revenue'!F$62</f>
        <v>23100.000000000004</v>
      </c>
      <c r="G65" s="219">
        <f>'Sales&amp;Revenue'!G$62</f>
        <v>27720.000000000004</v>
      </c>
      <c r="H65" s="219">
        <f>'Sales&amp;Revenue'!H$62</f>
        <v>36036.000000000007</v>
      </c>
      <c r="I65" s="219">
        <f>'Sales&amp;Revenue'!I$62</f>
        <v>46846.80000000001</v>
      </c>
      <c r="J65" s="219">
        <f>'Sales&amp;Revenue'!J$62</f>
        <v>53873.820000000007</v>
      </c>
      <c r="K65" s="219">
        <f>'Sales&amp;Revenue'!K$62</f>
        <v>55490.034600000006</v>
      </c>
      <c r="L65" s="219">
        <f>'Sales&amp;Revenue'!L$62</f>
        <v>57154.735638000006</v>
      </c>
      <c r="M65" s="219">
        <f>'Sales&amp;Revenue'!M$62</f>
        <v>58869.377707140004</v>
      </c>
      <c r="N65" s="219">
        <f>'Sales&amp;Revenue'!N$62</f>
        <v>0</v>
      </c>
      <c r="O65" s="219">
        <f>'Sales&amp;Revenue'!O$62</f>
        <v>0</v>
      </c>
    </row>
    <row r="66" spans="1:15" x14ac:dyDescent="0.25">
      <c r="A66" s="217" t="str">
        <f>'Sales&amp;Revenue'!A$63</f>
        <v>Product B sold</v>
      </c>
      <c r="B66" s="310" t="str">
        <f>'Sales&amp;Revenue'!B$63</f>
        <v>units</v>
      </c>
      <c r="C66" s="215">
        <f>'Sales&amp;Revenue'!C$63</f>
        <v>261523.12684272003</v>
      </c>
      <c r="D66" s="219">
        <f>'Sales&amp;Revenue'!D$63</f>
        <v>15000</v>
      </c>
      <c r="E66" s="219">
        <f>'Sales&amp;Revenue'!E$63</f>
        <v>15750</v>
      </c>
      <c r="F66" s="219">
        <f>'Sales&amp;Revenue'!F$63</f>
        <v>17325</v>
      </c>
      <c r="G66" s="219">
        <f>'Sales&amp;Revenue'!G$63</f>
        <v>20790</v>
      </c>
      <c r="H66" s="219">
        <f>'Sales&amp;Revenue'!H$63</f>
        <v>24948</v>
      </c>
      <c r="I66" s="219">
        <f>'Sales&amp;Revenue'!I$63</f>
        <v>29937.599999999999</v>
      </c>
      <c r="J66" s="219">
        <f>'Sales&amp;Revenue'!J$63</f>
        <v>32931.360000000001</v>
      </c>
      <c r="K66" s="219">
        <f>'Sales&amp;Revenue'!K$63</f>
        <v>33919.300800000005</v>
      </c>
      <c r="L66" s="219">
        <f>'Sales&amp;Revenue'!L$63</f>
        <v>34936.879824000003</v>
      </c>
      <c r="M66" s="219">
        <f>'Sales&amp;Revenue'!M$63</f>
        <v>35984.986218720005</v>
      </c>
      <c r="N66" s="219">
        <f>'Sales&amp;Revenue'!N$63</f>
        <v>0</v>
      </c>
      <c r="O66" s="219">
        <f>'Sales&amp;Revenue'!O$63</f>
        <v>0</v>
      </c>
    </row>
    <row r="67" spans="1:15" x14ac:dyDescent="0.25">
      <c r="A67" s="217" t="str">
        <f>'Sales&amp;Revenue'!A$64</f>
        <v>Product C sold</v>
      </c>
      <c r="B67" s="310" t="str">
        <f>'Sales&amp;Revenue'!B$64</f>
        <v>units</v>
      </c>
      <c r="C67" s="215">
        <f>'Sales&amp;Revenue'!C$64</f>
        <v>73951.358878792526</v>
      </c>
      <c r="D67" s="219">
        <f>'Sales&amp;Revenue'!D$64</f>
        <v>5000</v>
      </c>
      <c r="E67" s="219">
        <f>'Sales&amp;Revenue'!E$64</f>
        <v>5500</v>
      </c>
      <c r="F67" s="219">
        <f>'Sales&amp;Revenue'!F$64</f>
        <v>6050.0000000000009</v>
      </c>
      <c r="G67" s="219">
        <f>'Sales&amp;Revenue'!G$64</f>
        <v>6655.0000000000018</v>
      </c>
      <c r="H67" s="219">
        <f>'Sales&amp;Revenue'!H$64</f>
        <v>7320.5000000000027</v>
      </c>
      <c r="I67" s="219">
        <f>'Sales&amp;Revenue'!I$64</f>
        <v>8052.5500000000038</v>
      </c>
      <c r="J67" s="219">
        <f>'Sales&amp;Revenue'!J$64</f>
        <v>8455.1775000000052</v>
      </c>
      <c r="K67" s="219">
        <f>'Sales&amp;Revenue'!K$64</f>
        <v>8708.832825000005</v>
      </c>
      <c r="L67" s="219">
        <f>'Sales&amp;Revenue'!L$64</f>
        <v>8970.0978097500047</v>
      </c>
      <c r="M67" s="219">
        <f>'Sales&amp;Revenue'!M$64</f>
        <v>9239.2007440425059</v>
      </c>
      <c r="N67" s="219">
        <f>'Sales&amp;Revenue'!N$64</f>
        <v>0</v>
      </c>
      <c r="O67" s="219">
        <f>'Sales&amp;Revenue'!O$64</f>
        <v>0</v>
      </c>
    </row>
    <row r="68" spans="1:15" s="9" customFormat="1" x14ac:dyDescent="0.25">
      <c r="A68" s="220" t="str">
        <f>'Sales&amp;Revenue'!A$65</f>
        <v>Total ABC units sold</v>
      </c>
      <c r="B68" s="310" t="str">
        <f>'Sales&amp;Revenue'!B$65</f>
        <v>units</v>
      </c>
      <c r="C68" s="215">
        <f>'Sales&amp;Revenue'!C$65</f>
        <v>735565.2536666526</v>
      </c>
      <c r="D68" s="215">
        <f>'Sales&amp;Revenue'!D$65</f>
        <v>40000</v>
      </c>
      <c r="E68" s="215">
        <f>'Sales&amp;Revenue'!E$65</f>
        <v>42250</v>
      </c>
      <c r="F68" s="215">
        <f>'Sales&amp;Revenue'!F$65</f>
        <v>46475</v>
      </c>
      <c r="G68" s="215">
        <f>'Sales&amp;Revenue'!G$65</f>
        <v>55165</v>
      </c>
      <c r="H68" s="215">
        <f>'Sales&amp;Revenue'!H$65</f>
        <v>68304.500000000015</v>
      </c>
      <c r="I68" s="215">
        <f>'Sales&amp;Revenue'!I$65</f>
        <v>84836.950000000012</v>
      </c>
      <c r="J68" s="215">
        <f>'Sales&amp;Revenue'!J$65</f>
        <v>95260.357500000013</v>
      </c>
      <c r="K68" s="215">
        <f>'Sales&amp;Revenue'!K$65</f>
        <v>98118.168225000016</v>
      </c>
      <c r="L68" s="215">
        <f>'Sales&amp;Revenue'!L$65</f>
        <v>101061.71327175002</v>
      </c>
      <c r="M68" s="215">
        <f>'Sales&amp;Revenue'!M$65</f>
        <v>104093.56466990251</v>
      </c>
      <c r="N68" s="215">
        <f>'Sales&amp;Revenue'!N$65</f>
        <v>0</v>
      </c>
      <c r="O68" s="215">
        <f>'Sales&amp;Revenue'!O$65</f>
        <v>0</v>
      </c>
    </row>
    <row r="69" spans="1:15" ht="28.5" customHeight="1" x14ac:dyDescent="0.25">
      <c r="A69" s="423" t="s">
        <v>206</v>
      </c>
      <c r="C69" s="39"/>
      <c r="D69" s="39"/>
      <c r="E69" s="39"/>
      <c r="F69" s="39"/>
      <c r="G69" s="39"/>
      <c r="H69" s="39"/>
      <c r="I69" s="39"/>
      <c r="J69" s="39"/>
      <c r="K69" s="39"/>
      <c r="L69" s="39"/>
      <c r="M69" s="39"/>
      <c r="N69" s="39"/>
      <c r="O69" s="8"/>
    </row>
    <row r="70" spans="1:15" x14ac:dyDescent="0.25">
      <c r="A70" s="43" t="s">
        <v>139</v>
      </c>
      <c r="B70" s="29"/>
    </row>
    <row r="71" spans="1:15" x14ac:dyDescent="0.25">
      <c r="A71" s="43" t="s">
        <v>101</v>
      </c>
      <c r="B71" s="29"/>
    </row>
    <row r="72" spans="1:15" x14ac:dyDescent="0.25">
      <c r="A72" s="51" t="s">
        <v>132</v>
      </c>
      <c r="B72" s="311" t="s">
        <v>21</v>
      </c>
      <c r="C72" s="39"/>
      <c r="D72" s="50">
        <v>30</v>
      </c>
      <c r="E72" s="50">
        <f>D72</f>
        <v>30</v>
      </c>
      <c r="F72" s="50">
        <f>E72</f>
        <v>30</v>
      </c>
      <c r="G72" s="50">
        <f t="shared" ref="G72:J72" si="17">F72</f>
        <v>30</v>
      </c>
      <c r="H72" s="50">
        <f t="shared" si="17"/>
        <v>30</v>
      </c>
      <c r="I72" s="50">
        <f t="shared" si="17"/>
        <v>30</v>
      </c>
      <c r="J72" s="50">
        <f t="shared" si="17"/>
        <v>30</v>
      </c>
      <c r="K72" s="50">
        <f t="shared" ref="K72" si="18">J72</f>
        <v>30</v>
      </c>
      <c r="L72" s="50">
        <f t="shared" ref="L72" si="19">K72</f>
        <v>30</v>
      </c>
      <c r="M72" s="50">
        <f t="shared" ref="M72" si="20">L72</f>
        <v>30</v>
      </c>
      <c r="N72" s="50">
        <f t="shared" ref="N72" si="21">M72</f>
        <v>30</v>
      </c>
      <c r="O72" s="50">
        <f t="shared" ref="O72" si="22">N72</f>
        <v>30</v>
      </c>
    </row>
    <row r="73" spans="1:15" s="17" customFormat="1" ht="16.5" thickBot="1" x14ac:dyDescent="0.3">
      <c r="A73" s="218" t="s">
        <v>345</v>
      </c>
      <c r="B73" s="14" t="s">
        <v>3</v>
      </c>
      <c r="C73" s="39">
        <f t="shared" ref="C73:C85" si="23">SUM(D73:O73)</f>
        <v>28045.593718191783</v>
      </c>
      <c r="D73" s="40">
        <f>IF(E65=0,0,D65/365*D$72)</f>
        <v>1643.8356164383561</v>
      </c>
      <c r="E73" s="40">
        <f t="shared" ref="E73:O73" si="24">IF(F65=0,0,E65/365*E$72)</f>
        <v>1726.027397260274</v>
      </c>
      <c r="F73" s="40">
        <f t="shared" si="24"/>
        <v>1898.6301369863017</v>
      </c>
      <c r="G73" s="40">
        <f t="shared" si="24"/>
        <v>2278.3561643835619</v>
      </c>
      <c r="H73" s="40">
        <f t="shared" si="24"/>
        <v>2961.8630136986308</v>
      </c>
      <c r="I73" s="40">
        <f t="shared" si="24"/>
        <v>3850.4219178082199</v>
      </c>
      <c r="J73" s="40">
        <f t="shared" si="24"/>
        <v>4427.9852054794519</v>
      </c>
      <c r="K73" s="40">
        <f t="shared" si="24"/>
        <v>4560.8247616438366</v>
      </c>
      <c r="L73" s="40">
        <f t="shared" si="24"/>
        <v>4697.6495044931517</v>
      </c>
      <c r="M73" s="40">
        <f t="shared" si="24"/>
        <v>0</v>
      </c>
      <c r="N73" s="40">
        <f t="shared" si="24"/>
        <v>0</v>
      </c>
      <c r="O73" s="40">
        <f t="shared" si="24"/>
        <v>0</v>
      </c>
    </row>
    <row r="74" spans="1:15" s="17" customFormat="1" ht="16.5" thickBot="1" x14ac:dyDescent="0.3">
      <c r="A74" s="218" t="s">
        <v>137</v>
      </c>
      <c r="B74" s="14" t="s">
        <v>3</v>
      </c>
      <c r="C74" s="39"/>
      <c r="D74" s="65">
        <f>D73</f>
        <v>1643.8356164383561</v>
      </c>
      <c r="E74" s="40">
        <f t="shared" ref="E74:O74" si="25">E73-D73</f>
        <v>82.191780821917973</v>
      </c>
      <c r="F74" s="40">
        <f t="shared" si="25"/>
        <v>172.60273972602772</v>
      </c>
      <c r="G74" s="40">
        <f t="shared" si="25"/>
        <v>379.72602739726017</v>
      </c>
      <c r="H74" s="40">
        <f t="shared" si="25"/>
        <v>683.50684931506885</v>
      </c>
      <c r="I74" s="40">
        <f t="shared" si="25"/>
        <v>888.55890410958909</v>
      </c>
      <c r="J74" s="40">
        <f t="shared" si="25"/>
        <v>577.56328767123205</v>
      </c>
      <c r="K74" s="40">
        <f t="shared" si="25"/>
        <v>132.8395561643847</v>
      </c>
      <c r="L74" s="40">
        <f t="shared" si="25"/>
        <v>136.82474284931504</v>
      </c>
      <c r="M74" s="40">
        <f t="shared" si="25"/>
        <v>-4697.6495044931517</v>
      </c>
      <c r="N74" s="40">
        <f t="shared" si="25"/>
        <v>0</v>
      </c>
      <c r="O74" s="40">
        <f t="shared" si="25"/>
        <v>0</v>
      </c>
    </row>
    <row r="75" spans="1:15" s="17" customFormat="1" x14ac:dyDescent="0.25">
      <c r="A75" s="218"/>
      <c r="B75" s="14"/>
      <c r="C75" s="39"/>
      <c r="D75" s="73"/>
      <c r="E75" s="40"/>
      <c r="F75" s="40"/>
      <c r="G75" s="40"/>
      <c r="H75" s="40"/>
      <c r="I75" s="40"/>
      <c r="J75" s="40"/>
      <c r="K75" s="40"/>
      <c r="L75" s="40"/>
      <c r="M75" s="40"/>
      <c r="N75" s="40"/>
      <c r="O75" s="40"/>
    </row>
    <row r="76" spans="1:15" s="17" customFormat="1" ht="16.5" thickBot="1" x14ac:dyDescent="0.3">
      <c r="A76" s="218" t="s">
        <v>346</v>
      </c>
      <c r="B76" s="14" t="s">
        <v>3</v>
      </c>
      <c r="C76" s="39">
        <f t="shared" si="23"/>
        <v>18537.381421150683</v>
      </c>
      <c r="D76" s="40">
        <f>IF(E66=0,0,D66/365*D$72)</f>
        <v>1232.8767123287671</v>
      </c>
      <c r="E76" s="40">
        <f t="shared" ref="E76:O76" si="26">IF(F66=0,0,E66/365*E$72)</f>
        <v>1294.5205479452056</v>
      </c>
      <c r="F76" s="40">
        <f t="shared" si="26"/>
        <v>1423.972602739726</v>
      </c>
      <c r="G76" s="40">
        <f t="shared" si="26"/>
        <v>1708.7671232876712</v>
      </c>
      <c r="H76" s="40">
        <f t="shared" si="26"/>
        <v>2050.5205479452056</v>
      </c>
      <c r="I76" s="40">
        <f t="shared" si="26"/>
        <v>2460.6246575342466</v>
      </c>
      <c r="J76" s="40">
        <f t="shared" si="26"/>
        <v>2706.6871232876711</v>
      </c>
      <c r="K76" s="40">
        <f t="shared" si="26"/>
        <v>2787.8877369863021</v>
      </c>
      <c r="L76" s="40">
        <f t="shared" si="26"/>
        <v>2871.5243690958905</v>
      </c>
      <c r="M76" s="40">
        <f t="shared" si="26"/>
        <v>0</v>
      </c>
      <c r="N76" s="40">
        <f t="shared" si="26"/>
        <v>0</v>
      </c>
      <c r="O76" s="40">
        <f t="shared" si="26"/>
        <v>0</v>
      </c>
    </row>
    <row r="77" spans="1:15" s="17" customFormat="1" ht="16.5" thickBot="1" x14ac:dyDescent="0.3">
      <c r="A77" s="218" t="s">
        <v>138</v>
      </c>
      <c r="B77" s="14" t="s">
        <v>3</v>
      </c>
      <c r="C77" s="39"/>
      <c r="D77" s="65">
        <f>D76</f>
        <v>1232.8767123287671</v>
      </c>
      <c r="E77" s="40">
        <f t="shared" ref="E77" si="27">E76-D76</f>
        <v>61.643835616438537</v>
      </c>
      <c r="F77" s="40">
        <f t="shared" ref="F77" si="28">F76-E76</f>
        <v>129.45205479452034</v>
      </c>
      <c r="G77" s="40">
        <f t="shared" ref="G77" si="29">G76-F76</f>
        <v>284.79452054794524</v>
      </c>
      <c r="H77" s="40">
        <f t="shared" ref="H77" si="30">H76-G76</f>
        <v>341.75342465753442</v>
      </c>
      <c r="I77" s="40">
        <f t="shared" ref="I77" si="31">I76-H76</f>
        <v>410.10410958904095</v>
      </c>
      <c r="J77" s="40">
        <f t="shared" ref="J77" si="32">J76-I76</f>
        <v>246.06246575342448</v>
      </c>
      <c r="K77" s="40">
        <f t="shared" ref="K77" si="33">K76-J76</f>
        <v>81.200613698631059</v>
      </c>
      <c r="L77" s="40">
        <f t="shared" ref="L77" si="34">L76-K76</f>
        <v>83.63663210958839</v>
      </c>
      <c r="M77" s="40">
        <f t="shared" ref="M77" si="35">M76-L76</f>
        <v>-2871.5243690958905</v>
      </c>
      <c r="N77" s="40">
        <f t="shared" ref="N77" si="36">N76-M76</f>
        <v>0</v>
      </c>
      <c r="O77" s="40">
        <f t="shared" ref="O77" si="37">O76-N76</f>
        <v>0</v>
      </c>
    </row>
    <row r="78" spans="1:15" s="17" customFormat="1" x14ac:dyDescent="0.25">
      <c r="A78" s="218"/>
      <c r="B78" s="14"/>
      <c r="C78" s="39"/>
      <c r="D78" s="40"/>
      <c r="E78" s="40"/>
      <c r="F78" s="40"/>
      <c r="G78" s="40"/>
      <c r="H78" s="40"/>
      <c r="I78" s="40"/>
      <c r="J78" s="40"/>
      <c r="K78" s="40"/>
      <c r="L78" s="40"/>
      <c r="M78" s="40"/>
      <c r="N78" s="40"/>
      <c r="O78" s="40"/>
    </row>
    <row r="79" spans="1:15" s="17" customFormat="1" ht="16.5" thickBot="1" x14ac:dyDescent="0.3">
      <c r="A79" s="218" t="s">
        <v>347</v>
      </c>
      <c r="B79" s="14" t="s">
        <v>3</v>
      </c>
      <c r="C79" s="39">
        <f t="shared" si="23"/>
        <v>5318.8075179246598</v>
      </c>
      <c r="D79" s="40">
        <f>IF(E67=0,0,D67/365*D$72)</f>
        <v>410.95890410958901</v>
      </c>
      <c r="E79" s="40">
        <f t="shared" ref="E79:O79" si="38">IF(F67=0,0,E67/365*E$72)</f>
        <v>452.05479452054794</v>
      </c>
      <c r="F79" s="40">
        <f t="shared" si="38"/>
        <v>497.26027397260276</v>
      </c>
      <c r="G79" s="40">
        <f t="shared" si="38"/>
        <v>546.9863013698631</v>
      </c>
      <c r="H79" s="40">
        <f t="shared" si="38"/>
        <v>601.68493150684958</v>
      </c>
      <c r="I79" s="40">
        <f t="shared" si="38"/>
        <v>661.85342465753456</v>
      </c>
      <c r="J79" s="40">
        <f t="shared" si="38"/>
        <v>694.94609589041136</v>
      </c>
      <c r="K79" s="40">
        <f t="shared" si="38"/>
        <v>715.79447876712368</v>
      </c>
      <c r="L79" s="40">
        <f t="shared" si="38"/>
        <v>737.26831313013736</v>
      </c>
      <c r="M79" s="40">
        <f t="shared" si="38"/>
        <v>0</v>
      </c>
      <c r="N79" s="40">
        <f t="shared" si="38"/>
        <v>0</v>
      </c>
      <c r="O79" s="40">
        <f t="shared" si="38"/>
        <v>0</v>
      </c>
    </row>
    <row r="80" spans="1:15" s="17" customFormat="1" ht="16.5" thickBot="1" x14ac:dyDescent="0.3">
      <c r="A80" s="218" t="s">
        <v>138</v>
      </c>
      <c r="B80" s="14" t="s">
        <v>3</v>
      </c>
      <c r="C80" s="39"/>
      <c r="D80" s="65">
        <f>D79</f>
        <v>410.95890410958901</v>
      </c>
      <c r="E80" s="40">
        <f t="shared" ref="E80" si="39">E79-D79</f>
        <v>41.09589041095893</v>
      </c>
      <c r="F80" s="40">
        <f t="shared" ref="F80" si="40">F79-E79</f>
        <v>45.205479452054817</v>
      </c>
      <c r="G80" s="40">
        <f t="shared" ref="G80" si="41">G79-F79</f>
        <v>49.726027397260339</v>
      </c>
      <c r="H80" s="40">
        <f t="shared" ref="H80" si="42">H79-G79</f>
        <v>54.69863013698648</v>
      </c>
      <c r="I80" s="40">
        <f t="shared" ref="I80" si="43">I79-H79</f>
        <v>60.168493150684981</v>
      </c>
      <c r="J80" s="40">
        <f t="shared" ref="J80" si="44">J79-I79</f>
        <v>33.092671232876796</v>
      </c>
      <c r="K80" s="40">
        <f t="shared" ref="K80" si="45">K79-J79</f>
        <v>20.848382876712321</v>
      </c>
      <c r="L80" s="40">
        <f t="shared" ref="L80" si="46">L79-K79</f>
        <v>21.47383436301368</v>
      </c>
      <c r="M80" s="40">
        <f t="shared" ref="M80" si="47">M79-L79</f>
        <v>-737.26831313013736</v>
      </c>
      <c r="N80" s="40">
        <f t="shared" ref="N80" si="48">N79-M79</f>
        <v>0</v>
      </c>
      <c r="O80" s="40">
        <f t="shared" ref="O80" si="49">O79-N79</f>
        <v>0</v>
      </c>
    </row>
    <row r="81" spans="1:15" ht="28.5" customHeight="1" x14ac:dyDescent="0.25">
      <c r="A81" s="423" t="s">
        <v>207</v>
      </c>
      <c r="C81" s="39"/>
      <c r="D81" s="39"/>
      <c r="E81" s="39"/>
      <c r="F81" s="39"/>
      <c r="G81" s="39"/>
      <c r="H81" s="39"/>
      <c r="I81" s="39"/>
      <c r="J81" s="39"/>
      <c r="K81" s="39"/>
      <c r="L81" s="39"/>
      <c r="M81" s="39"/>
      <c r="N81" s="39"/>
      <c r="O81" s="8"/>
    </row>
    <row r="82" spans="1:15" s="17" customFormat="1" x14ac:dyDescent="0.25">
      <c r="A82" s="218" t="s">
        <v>133</v>
      </c>
      <c r="B82" s="14" t="s">
        <v>3</v>
      </c>
      <c r="C82" s="39">
        <f t="shared" si="23"/>
        <v>400090.76794514002</v>
      </c>
      <c r="D82" s="40">
        <f>D65+D74</f>
        <v>21643.835616438355</v>
      </c>
      <c r="E82" s="40">
        <f t="shared" ref="E82:O82" si="50">E65+E74</f>
        <v>21082.191780821919</v>
      </c>
      <c r="F82" s="40">
        <f t="shared" si="50"/>
        <v>23272.602739726033</v>
      </c>
      <c r="G82" s="40">
        <f t="shared" si="50"/>
        <v>28099.726027397264</v>
      </c>
      <c r="H82" s="40">
        <f t="shared" si="50"/>
        <v>36719.506849315076</v>
      </c>
      <c r="I82" s="40">
        <f t="shared" si="50"/>
        <v>47735.358904109598</v>
      </c>
      <c r="J82" s="40">
        <f t="shared" si="50"/>
        <v>54451.38328767124</v>
      </c>
      <c r="K82" s="40">
        <f t="shared" si="50"/>
        <v>55622.874156164391</v>
      </c>
      <c r="L82" s="40">
        <f t="shared" si="50"/>
        <v>57291.560380849318</v>
      </c>
      <c r="M82" s="40">
        <f t="shared" si="50"/>
        <v>54171.728202646853</v>
      </c>
      <c r="N82" s="40">
        <f t="shared" si="50"/>
        <v>0</v>
      </c>
      <c r="O82" s="40">
        <f t="shared" si="50"/>
        <v>0</v>
      </c>
    </row>
    <row r="83" spans="1:15" s="17" customFormat="1" x14ac:dyDescent="0.25">
      <c r="A83" s="218" t="s">
        <v>134</v>
      </c>
      <c r="B83" s="14" t="s">
        <v>3</v>
      </c>
      <c r="C83" s="39">
        <f t="shared" si="23"/>
        <v>261523.12684272</v>
      </c>
      <c r="D83" s="40">
        <f>D66+D77</f>
        <v>16232.876712328767</v>
      </c>
      <c r="E83" s="40">
        <f t="shared" ref="E83:O83" si="51">E66+E77</f>
        <v>15811.643835616438</v>
      </c>
      <c r="F83" s="40">
        <f t="shared" si="51"/>
        <v>17454.452054794521</v>
      </c>
      <c r="G83" s="40">
        <f t="shared" si="51"/>
        <v>21074.794520547945</v>
      </c>
      <c r="H83" s="40">
        <f t="shared" si="51"/>
        <v>25289.753424657534</v>
      </c>
      <c r="I83" s="40">
        <f t="shared" si="51"/>
        <v>30347.704109589038</v>
      </c>
      <c r="J83" s="40">
        <f t="shared" si="51"/>
        <v>33177.422465753421</v>
      </c>
      <c r="K83" s="40">
        <f t="shared" si="51"/>
        <v>34000.501413698636</v>
      </c>
      <c r="L83" s="40">
        <f t="shared" si="51"/>
        <v>35020.516456109588</v>
      </c>
      <c r="M83" s="40">
        <f t="shared" si="51"/>
        <v>33113.461849624116</v>
      </c>
      <c r="N83" s="40">
        <f t="shared" si="51"/>
        <v>0</v>
      </c>
      <c r="O83" s="40">
        <f t="shared" si="51"/>
        <v>0</v>
      </c>
    </row>
    <row r="84" spans="1:15" s="17" customFormat="1" x14ac:dyDescent="0.25">
      <c r="A84" s="218" t="s">
        <v>135</v>
      </c>
      <c r="B84" s="14" t="s">
        <v>3</v>
      </c>
      <c r="C84" s="39">
        <f t="shared" si="23"/>
        <v>73951.35887879254</v>
      </c>
      <c r="D84" s="40">
        <f>D67+D80</f>
        <v>5410.9589041095887</v>
      </c>
      <c r="E84" s="40">
        <f t="shared" ref="E84:O84" si="52">E67+E80</f>
        <v>5541.0958904109593</v>
      </c>
      <c r="F84" s="40">
        <f t="shared" si="52"/>
        <v>6095.2054794520554</v>
      </c>
      <c r="G84" s="40">
        <f t="shared" si="52"/>
        <v>6704.7260273972624</v>
      </c>
      <c r="H84" s="40">
        <f t="shared" si="52"/>
        <v>7375.1986301369889</v>
      </c>
      <c r="I84" s="40">
        <f t="shared" si="52"/>
        <v>8112.718493150689</v>
      </c>
      <c r="J84" s="40">
        <f t="shared" si="52"/>
        <v>8488.2701712328817</v>
      </c>
      <c r="K84" s="40">
        <f t="shared" si="52"/>
        <v>8729.681207876718</v>
      </c>
      <c r="L84" s="40">
        <f t="shared" si="52"/>
        <v>8991.5716441130189</v>
      </c>
      <c r="M84" s="40">
        <f t="shared" si="52"/>
        <v>8501.9324309123695</v>
      </c>
      <c r="N84" s="40">
        <f t="shared" si="52"/>
        <v>0</v>
      </c>
      <c r="O84" s="40">
        <f t="shared" si="52"/>
        <v>0</v>
      </c>
    </row>
    <row r="85" spans="1:15" s="105" customFormat="1" ht="18.75" x14ac:dyDescent="0.3">
      <c r="A85" s="103" t="s">
        <v>136</v>
      </c>
      <c r="B85" s="312" t="s">
        <v>3</v>
      </c>
      <c r="C85" s="104">
        <f t="shared" si="23"/>
        <v>735565.2536666526</v>
      </c>
      <c r="D85" s="106">
        <f>SUM(D82:D84)</f>
        <v>43287.67123287671</v>
      </c>
      <c r="E85" s="106">
        <f t="shared" ref="E85:O85" si="53">SUM(E82:E84)</f>
        <v>42434.931506849316</v>
      </c>
      <c r="F85" s="106">
        <f t="shared" si="53"/>
        <v>46822.260273972614</v>
      </c>
      <c r="G85" s="106">
        <f t="shared" si="53"/>
        <v>55879.246575342477</v>
      </c>
      <c r="H85" s="106">
        <f t="shared" si="53"/>
        <v>69384.458904109604</v>
      </c>
      <c r="I85" s="106">
        <f t="shared" si="53"/>
        <v>86195.781506849336</v>
      </c>
      <c r="J85" s="106">
        <f t="shared" si="53"/>
        <v>96117.075924657547</v>
      </c>
      <c r="K85" s="106">
        <f t="shared" si="53"/>
        <v>98353.056777739752</v>
      </c>
      <c r="L85" s="106">
        <f t="shared" si="53"/>
        <v>101303.64848107193</v>
      </c>
      <c r="M85" s="106">
        <f t="shared" si="53"/>
        <v>95787.122483183339</v>
      </c>
      <c r="N85" s="106">
        <f t="shared" si="53"/>
        <v>0</v>
      </c>
      <c r="O85" s="106">
        <f t="shared" si="53"/>
        <v>0</v>
      </c>
    </row>
    <row r="86" spans="1:15" ht="28.5" customHeight="1" x14ac:dyDescent="0.25">
      <c r="A86" s="423" t="s">
        <v>410</v>
      </c>
      <c r="C86" s="39"/>
      <c r="D86" s="39"/>
      <c r="E86" s="39"/>
      <c r="F86" s="39"/>
      <c r="G86" s="39"/>
      <c r="H86" s="39"/>
      <c r="I86" s="39"/>
      <c r="J86" s="39"/>
      <c r="K86" s="39"/>
      <c r="L86" s="39"/>
      <c r="M86" s="39"/>
      <c r="N86" s="39"/>
      <c r="O86" s="8"/>
    </row>
    <row r="87" spans="1:15" s="17" customFormat="1" x14ac:dyDescent="0.25">
      <c r="A87" s="218" t="s">
        <v>133</v>
      </c>
      <c r="B87" s="14" t="s">
        <v>25</v>
      </c>
      <c r="C87" s="39">
        <f t="shared" ref="C87:C90" si="54">SUM(D87:O87)</f>
        <v>457.09225032661237</v>
      </c>
      <c r="D87" s="40">
        <f t="shared" ref="D87:O87" si="55">D73*D100/1000</f>
        <v>29.589041095890412</v>
      </c>
      <c r="E87" s="40">
        <f>E73*E100/1000</f>
        <v>30.447123287671236</v>
      </c>
      <c r="F87" s="40">
        <f t="shared" si="55"/>
        <v>32.821998904109591</v>
      </c>
      <c r="G87" s="40">
        <f t="shared" si="55"/>
        <v>38.598670711232877</v>
      </c>
      <c r="H87" s="40">
        <f t="shared" si="55"/>
        <v>49.174706486110694</v>
      </c>
      <c r="I87" s="40">
        <f t="shared" si="55"/>
        <v>62.648576063305022</v>
      </c>
      <c r="J87" s="40">
        <f t="shared" si="55"/>
        <v>70.604945223344743</v>
      </c>
      <c r="K87" s="40">
        <f t="shared" si="55"/>
        <v>71.268631708444204</v>
      </c>
      <c r="L87" s="40">
        <f t="shared" si="55"/>
        <v>71.938556846503573</v>
      </c>
      <c r="M87" s="40">
        <f t="shared" si="55"/>
        <v>0</v>
      </c>
      <c r="N87" s="40">
        <f t="shared" si="55"/>
        <v>0</v>
      </c>
      <c r="O87" s="40">
        <f t="shared" si="55"/>
        <v>0</v>
      </c>
    </row>
    <row r="88" spans="1:15" s="17" customFormat="1" x14ac:dyDescent="0.25">
      <c r="A88" s="218" t="s">
        <v>134</v>
      </c>
      <c r="B88" s="14" t="s">
        <v>25</v>
      </c>
      <c r="C88" s="39">
        <f t="shared" si="54"/>
        <v>471.90735745220888</v>
      </c>
      <c r="D88" s="40">
        <f t="shared" ref="D88:O88" si="56">D76*D101/1000</f>
        <v>34.520547945205479</v>
      </c>
      <c r="E88" s="40">
        <f>E76*E101/1000</f>
        <v>35.521643835616437</v>
      </c>
      <c r="F88" s="40">
        <f t="shared" si="56"/>
        <v>38.292332054794521</v>
      </c>
      <c r="G88" s="40">
        <f t="shared" si="56"/>
        <v>45.031782496438353</v>
      </c>
      <c r="H88" s="40">
        <f t="shared" si="56"/>
        <v>52.957376215811507</v>
      </c>
      <c r="I88" s="40">
        <f t="shared" si="56"/>
        <v>62.277874429794331</v>
      </c>
      <c r="J88" s="40">
        <f t="shared" si="56"/>
        <v>67.135548635318287</v>
      </c>
      <c r="K88" s="40">
        <f t="shared" si="56"/>
        <v>67.766622792490296</v>
      </c>
      <c r="L88" s="40">
        <f t="shared" si="56"/>
        <v>68.403629046739695</v>
      </c>
      <c r="M88" s="40">
        <f t="shared" si="56"/>
        <v>0</v>
      </c>
      <c r="N88" s="40">
        <f t="shared" si="56"/>
        <v>0</v>
      </c>
      <c r="O88" s="40">
        <f t="shared" si="56"/>
        <v>0</v>
      </c>
    </row>
    <row r="89" spans="1:15" s="17" customFormat="1" x14ac:dyDescent="0.25">
      <c r="A89" s="218" t="s">
        <v>135</v>
      </c>
      <c r="B89" s="14" t="s">
        <v>25</v>
      </c>
      <c r="C89" s="39">
        <f t="shared" si="54"/>
        <v>184.82635263910879</v>
      </c>
      <c r="D89" s="40">
        <f t="shared" ref="D89:O89" si="57">D79*D102/1000</f>
        <v>15.616438356164382</v>
      </c>
      <c r="E89" s="40">
        <f>E79*E102/1000</f>
        <v>16.834520547945207</v>
      </c>
      <c r="F89" s="40">
        <f t="shared" si="57"/>
        <v>18.147613150684933</v>
      </c>
      <c r="G89" s="40">
        <f t="shared" si="57"/>
        <v>19.563126976438362</v>
      </c>
      <c r="H89" s="40">
        <f t="shared" si="57"/>
        <v>21.08905088060056</v>
      </c>
      <c r="I89" s="40">
        <f t="shared" si="57"/>
        <v>22.733996849287408</v>
      </c>
      <c r="J89" s="40">
        <f t="shared" si="57"/>
        <v>23.393282757916747</v>
      </c>
      <c r="K89" s="40">
        <f t="shared" si="57"/>
        <v>23.613179615841158</v>
      </c>
      <c r="L89" s="40">
        <f t="shared" si="57"/>
        <v>23.835143504230061</v>
      </c>
      <c r="M89" s="40">
        <f t="shared" si="57"/>
        <v>0</v>
      </c>
      <c r="N89" s="40">
        <f t="shared" si="57"/>
        <v>0</v>
      </c>
      <c r="O89" s="40">
        <f t="shared" si="57"/>
        <v>0</v>
      </c>
    </row>
    <row r="90" spans="1:15" s="105" customFormat="1" ht="18.75" x14ac:dyDescent="0.3">
      <c r="A90" s="103" t="str">
        <f>A86</f>
        <v>Working stocks of ABC's - closing</v>
      </c>
      <c r="B90" s="312" t="s">
        <v>25</v>
      </c>
      <c r="C90" s="104">
        <f t="shared" si="54"/>
        <v>1113.82596041793</v>
      </c>
      <c r="D90" s="106">
        <f>SUM(D87:D89)</f>
        <v>79.726027397260268</v>
      </c>
      <c r="E90" s="106">
        <f t="shared" ref="E90:O90" si="58">SUM(E87:E89)</f>
        <v>82.80328767123288</v>
      </c>
      <c r="F90" s="106">
        <f t="shared" si="58"/>
        <v>89.261944109589038</v>
      </c>
      <c r="G90" s="106">
        <f t="shared" si="58"/>
        <v>103.19358018410958</v>
      </c>
      <c r="H90" s="106">
        <f t="shared" si="58"/>
        <v>123.22113358252275</v>
      </c>
      <c r="I90" s="106">
        <f t="shared" si="58"/>
        <v>147.66044734238676</v>
      </c>
      <c r="J90" s="106">
        <f t="shared" si="58"/>
        <v>161.13377661657978</v>
      </c>
      <c r="K90" s="106">
        <f t="shared" si="58"/>
        <v>162.64843411677566</v>
      </c>
      <c r="L90" s="106">
        <f t="shared" si="58"/>
        <v>164.17732939747333</v>
      </c>
      <c r="M90" s="106">
        <f t="shared" si="58"/>
        <v>0</v>
      </c>
      <c r="N90" s="106">
        <f t="shared" si="58"/>
        <v>0</v>
      </c>
      <c r="O90" s="106">
        <f t="shared" si="58"/>
        <v>0</v>
      </c>
    </row>
    <row r="91" spans="1:15" s="17" customFormat="1" x14ac:dyDescent="0.25">
      <c r="B91" s="14"/>
      <c r="C91" s="40"/>
      <c r="D91" s="44"/>
      <c r="E91" s="44"/>
      <c r="F91" s="44"/>
      <c r="G91" s="44"/>
      <c r="H91" s="44"/>
      <c r="I91" s="44"/>
      <c r="J91" s="44"/>
      <c r="K91" s="44"/>
      <c r="L91" s="44"/>
      <c r="M91" s="44"/>
      <c r="N91" s="44"/>
      <c r="O91" s="44"/>
    </row>
    <row r="92" spans="1:15" s="46" customFormat="1" ht="45" customHeight="1" x14ac:dyDescent="0.25">
      <c r="A92" s="28" t="s">
        <v>196</v>
      </c>
      <c r="B92" s="29"/>
      <c r="C92" s="62"/>
      <c r="D92" s="74"/>
      <c r="E92" s="74"/>
      <c r="F92" s="74"/>
      <c r="G92" s="74"/>
      <c r="H92" s="74"/>
      <c r="I92" s="74"/>
      <c r="J92" s="74"/>
      <c r="K92" s="74"/>
      <c r="L92" s="74"/>
      <c r="M92" s="74"/>
      <c r="N92" s="74"/>
      <c r="O92" s="74"/>
    </row>
    <row r="93" spans="1:15" s="46" customFormat="1" ht="32.25" customHeight="1" x14ac:dyDescent="0.25">
      <c r="A93" s="242" t="s">
        <v>197</v>
      </c>
      <c r="B93" s="29"/>
      <c r="C93" s="62"/>
      <c r="D93" s="74"/>
      <c r="E93" s="74"/>
      <c r="F93" s="74"/>
      <c r="G93" s="74"/>
      <c r="H93" s="74"/>
      <c r="I93" s="74"/>
      <c r="J93" s="74"/>
      <c r="K93" s="74"/>
      <c r="L93" s="74"/>
      <c r="M93" s="74"/>
      <c r="N93" s="74"/>
      <c r="O93" s="74"/>
    </row>
    <row r="94" spans="1:15" ht="28.7" customHeight="1" x14ac:dyDescent="0.25">
      <c r="A94" s="423" t="s">
        <v>349</v>
      </c>
      <c r="C94" s="39"/>
      <c r="D94" s="39"/>
      <c r="E94" s="39"/>
      <c r="F94" s="39"/>
      <c r="G94" s="39"/>
      <c r="H94" s="39"/>
      <c r="I94" s="39"/>
      <c r="J94" s="39"/>
      <c r="K94" s="39"/>
      <c r="L94" s="39"/>
      <c r="M94" s="39"/>
      <c r="N94" s="39"/>
      <c r="O94" s="8"/>
    </row>
    <row r="95" spans="1:15" x14ac:dyDescent="0.25">
      <c r="A95" s="43" t="s">
        <v>348</v>
      </c>
      <c r="D95" s="1"/>
      <c r="E95" s="1"/>
      <c r="F95" s="1"/>
      <c r="G95" s="1"/>
      <c r="H95" s="1"/>
      <c r="I95" s="1"/>
      <c r="J95" s="1"/>
      <c r="K95" s="1"/>
      <c r="L95" s="1"/>
      <c r="M95" s="1"/>
      <c r="N95" s="1"/>
      <c r="O95" s="8"/>
    </row>
    <row r="96" spans="1:15" x14ac:dyDescent="0.25">
      <c r="A96" s="81" t="s">
        <v>140</v>
      </c>
      <c r="B96" s="311" t="s">
        <v>115</v>
      </c>
      <c r="C96" s="60"/>
      <c r="D96" s="60">
        <v>0</v>
      </c>
      <c r="E96" s="60">
        <v>0.02</v>
      </c>
      <c r="F96" s="60">
        <f>E96</f>
        <v>0.02</v>
      </c>
      <c r="G96" s="60">
        <f t="shared" ref="G96:O96" si="59">F96</f>
        <v>0.02</v>
      </c>
      <c r="H96" s="60">
        <f t="shared" si="59"/>
        <v>0.02</v>
      </c>
      <c r="I96" s="60">
        <f t="shared" si="59"/>
        <v>0.02</v>
      </c>
      <c r="J96" s="60">
        <f t="shared" si="59"/>
        <v>0.02</v>
      </c>
      <c r="K96" s="60">
        <f t="shared" si="59"/>
        <v>0.02</v>
      </c>
      <c r="L96" s="60">
        <f t="shared" si="59"/>
        <v>0.02</v>
      </c>
      <c r="M96" s="60">
        <f t="shared" si="59"/>
        <v>0.02</v>
      </c>
      <c r="N96" s="60">
        <f t="shared" si="59"/>
        <v>0.02</v>
      </c>
      <c r="O96" s="60">
        <f t="shared" si="59"/>
        <v>0.02</v>
      </c>
    </row>
    <row r="97" spans="1:15" x14ac:dyDescent="0.25">
      <c r="A97" s="81" t="s">
        <v>424</v>
      </c>
      <c r="B97" s="311" t="s">
        <v>115</v>
      </c>
      <c r="C97" s="60"/>
      <c r="D97" s="60">
        <f>D96</f>
        <v>0</v>
      </c>
      <c r="E97" s="60">
        <v>0.02</v>
      </c>
      <c r="F97" s="60">
        <f t="shared" ref="F97:O98" si="60">E97</f>
        <v>0.02</v>
      </c>
      <c r="G97" s="60">
        <f t="shared" si="60"/>
        <v>0.02</v>
      </c>
      <c r="H97" s="60">
        <f t="shared" si="60"/>
        <v>0.02</v>
      </c>
      <c r="I97" s="60">
        <f t="shared" si="60"/>
        <v>0.02</v>
      </c>
      <c r="J97" s="60">
        <f t="shared" si="60"/>
        <v>0.02</v>
      </c>
      <c r="K97" s="60">
        <f t="shared" si="60"/>
        <v>0.02</v>
      </c>
      <c r="L97" s="60">
        <f t="shared" si="60"/>
        <v>0.02</v>
      </c>
      <c r="M97" s="60">
        <f t="shared" si="60"/>
        <v>0.02</v>
      </c>
      <c r="N97" s="60">
        <f t="shared" si="60"/>
        <v>0.02</v>
      </c>
      <c r="O97" s="60">
        <f t="shared" si="60"/>
        <v>0.02</v>
      </c>
    </row>
    <row r="98" spans="1:15" x14ac:dyDescent="0.25">
      <c r="A98" s="81" t="s">
        <v>428</v>
      </c>
      <c r="B98" s="311" t="s">
        <v>115</v>
      </c>
      <c r="C98" s="60"/>
      <c r="D98" s="60">
        <f>D97</f>
        <v>0</v>
      </c>
      <c r="E98" s="60">
        <v>0.02</v>
      </c>
      <c r="F98" s="60">
        <f t="shared" si="60"/>
        <v>0.02</v>
      </c>
      <c r="G98" s="60">
        <f t="shared" si="60"/>
        <v>0.02</v>
      </c>
      <c r="H98" s="60">
        <f t="shared" si="60"/>
        <v>0.02</v>
      </c>
      <c r="I98" s="60">
        <f t="shared" si="60"/>
        <v>0.02</v>
      </c>
      <c r="J98" s="60">
        <f t="shared" si="60"/>
        <v>0.02</v>
      </c>
      <c r="K98" s="60">
        <f t="shared" si="60"/>
        <v>0.02</v>
      </c>
      <c r="L98" s="60">
        <f t="shared" si="60"/>
        <v>0.02</v>
      </c>
      <c r="M98" s="60">
        <f t="shared" si="60"/>
        <v>0.02</v>
      </c>
      <c r="N98" s="60">
        <f t="shared" si="60"/>
        <v>0.02</v>
      </c>
      <c r="O98" s="60">
        <f t="shared" si="60"/>
        <v>0.02</v>
      </c>
    </row>
    <row r="99" spans="1:15" x14ac:dyDescent="0.25">
      <c r="A99" s="423" t="s">
        <v>293</v>
      </c>
      <c r="C99" s="40"/>
      <c r="D99" s="40"/>
      <c r="E99" s="40"/>
      <c r="F99" s="40"/>
      <c r="G99" s="40"/>
      <c r="H99" s="40"/>
      <c r="I99" s="40"/>
      <c r="J99" s="40"/>
      <c r="K99" s="40"/>
      <c r="L99" s="40"/>
      <c r="M99" s="40"/>
      <c r="N99" s="40"/>
      <c r="O99" s="8"/>
    </row>
    <row r="100" spans="1:15" x14ac:dyDescent="0.25">
      <c r="A100" s="82" t="s">
        <v>141</v>
      </c>
      <c r="B100" s="14" t="s">
        <v>259</v>
      </c>
      <c r="C100" s="224">
        <v>18</v>
      </c>
      <c r="D100" s="221">
        <f>C100*(1-D96)</f>
        <v>18</v>
      </c>
      <c r="E100" s="221">
        <f t="shared" ref="E100:O100" si="61">D100*(1-E96)</f>
        <v>17.64</v>
      </c>
      <c r="F100" s="221">
        <f t="shared" si="61"/>
        <v>17.287199999999999</v>
      </c>
      <c r="G100" s="221">
        <f t="shared" si="61"/>
        <v>16.941455999999999</v>
      </c>
      <c r="H100" s="221">
        <f t="shared" si="61"/>
        <v>16.602626879999999</v>
      </c>
      <c r="I100" s="221">
        <f t="shared" si="61"/>
        <v>16.2705743424</v>
      </c>
      <c r="J100" s="221">
        <f t="shared" si="61"/>
        <v>15.945162855551999</v>
      </c>
      <c r="K100" s="221">
        <f t="shared" si="61"/>
        <v>15.626259598440958</v>
      </c>
      <c r="L100" s="221">
        <f t="shared" si="61"/>
        <v>15.31373440647214</v>
      </c>
      <c r="M100" s="221">
        <f t="shared" si="61"/>
        <v>15.007459718342696</v>
      </c>
      <c r="N100" s="221">
        <f t="shared" si="61"/>
        <v>14.707310523975842</v>
      </c>
      <c r="O100" s="221">
        <f t="shared" si="61"/>
        <v>14.413164313496324</v>
      </c>
    </row>
    <row r="101" spans="1:15" x14ac:dyDescent="0.25">
      <c r="A101" s="82" t="s">
        <v>142</v>
      </c>
      <c r="B101" s="14" t="s">
        <v>259</v>
      </c>
      <c r="C101" s="224">
        <v>28</v>
      </c>
      <c r="D101" s="221">
        <f t="shared" ref="D101:O102" si="62">C101*(1-D97)</f>
        <v>28</v>
      </c>
      <c r="E101" s="221">
        <f t="shared" si="62"/>
        <v>27.439999999999998</v>
      </c>
      <c r="F101" s="221">
        <f t="shared" si="62"/>
        <v>26.891199999999998</v>
      </c>
      <c r="G101" s="221">
        <f t="shared" si="62"/>
        <v>26.353375999999997</v>
      </c>
      <c r="H101" s="221">
        <f t="shared" si="62"/>
        <v>25.826308479999998</v>
      </c>
      <c r="I101" s="221">
        <f t="shared" si="62"/>
        <v>25.309782310399999</v>
      </c>
      <c r="J101" s="221">
        <f t="shared" si="62"/>
        <v>24.803586664192</v>
      </c>
      <c r="K101" s="221">
        <f t="shared" si="62"/>
        <v>24.307514930908159</v>
      </c>
      <c r="L101" s="221">
        <f t="shared" si="62"/>
        <v>23.821364632289995</v>
      </c>
      <c r="M101" s="221">
        <f t="shared" si="62"/>
        <v>23.344937339644193</v>
      </c>
      <c r="N101" s="221">
        <f t="shared" si="62"/>
        <v>22.878038592851308</v>
      </c>
      <c r="O101" s="221">
        <f t="shared" si="62"/>
        <v>22.420477820994282</v>
      </c>
    </row>
    <row r="102" spans="1:15" x14ac:dyDescent="0.25">
      <c r="A102" s="82" t="s">
        <v>143</v>
      </c>
      <c r="B102" s="14" t="s">
        <v>259</v>
      </c>
      <c r="C102" s="224">
        <v>38</v>
      </c>
      <c r="D102" s="221">
        <f t="shared" si="62"/>
        <v>38</v>
      </c>
      <c r="E102" s="221">
        <f t="shared" si="62"/>
        <v>37.24</v>
      </c>
      <c r="F102" s="221">
        <f t="shared" si="62"/>
        <v>36.495200000000004</v>
      </c>
      <c r="G102" s="221">
        <f t="shared" si="62"/>
        <v>35.765296000000006</v>
      </c>
      <c r="H102" s="221">
        <f t="shared" si="62"/>
        <v>35.049990080000008</v>
      </c>
      <c r="I102" s="221">
        <f t="shared" si="62"/>
        <v>34.348990278400009</v>
      </c>
      <c r="J102" s="221">
        <f t="shared" si="62"/>
        <v>33.662010472832009</v>
      </c>
      <c r="K102" s="221">
        <f t="shared" si="62"/>
        <v>32.988770263375365</v>
      </c>
      <c r="L102" s="221">
        <f t="shared" si="62"/>
        <v>32.328994858107855</v>
      </c>
      <c r="M102" s="221">
        <f t="shared" si="62"/>
        <v>31.682414960945696</v>
      </c>
      <c r="N102" s="221">
        <f t="shared" si="62"/>
        <v>31.048766661726781</v>
      </c>
      <c r="O102" s="221">
        <f t="shared" si="62"/>
        <v>30.427791328492244</v>
      </c>
    </row>
    <row r="103" spans="1:15" x14ac:dyDescent="0.25">
      <c r="A103" s="17"/>
      <c r="C103" s="40"/>
      <c r="D103" s="40"/>
      <c r="E103" s="40"/>
      <c r="F103" s="40"/>
      <c r="G103" s="40"/>
      <c r="H103" s="40"/>
      <c r="I103" s="40"/>
      <c r="J103" s="40"/>
      <c r="K103" s="40"/>
      <c r="L103" s="40"/>
      <c r="M103" s="40"/>
      <c r="N103" s="40"/>
      <c r="O103" s="8"/>
    </row>
    <row r="104" spans="1:15" ht="18.75" x14ac:dyDescent="0.3">
      <c r="A104" s="424" t="s">
        <v>294</v>
      </c>
      <c r="C104" s="40"/>
      <c r="D104" s="40"/>
      <c r="E104" s="40"/>
      <c r="F104" s="40"/>
      <c r="G104" s="40"/>
      <c r="H104" s="40"/>
      <c r="I104" s="40"/>
      <c r="J104" s="40"/>
      <c r="K104" s="40"/>
      <c r="L104" s="40"/>
      <c r="M104" s="40"/>
      <c r="N104" s="40"/>
      <c r="O104" s="8"/>
    </row>
    <row r="105" spans="1:15" x14ac:dyDescent="0.25">
      <c r="A105" s="82" t="s">
        <v>141</v>
      </c>
      <c r="B105" s="312" t="s">
        <v>25</v>
      </c>
      <c r="C105" s="39">
        <f t="shared" ref="C105:C107" si="63">SUM(D105:O105)</f>
        <v>6453.9107052307882</v>
      </c>
      <c r="D105" s="40">
        <f t="shared" ref="D105:O105" si="64">D82*D100/1000</f>
        <v>389.58904109589042</v>
      </c>
      <c r="E105" s="40">
        <f t="shared" si="64"/>
        <v>371.88986301369869</v>
      </c>
      <c r="F105" s="40">
        <f t="shared" si="64"/>
        <v>402.31813808219187</v>
      </c>
      <c r="G105" s="40">
        <f t="shared" si="64"/>
        <v>476.05027210520552</v>
      </c>
      <c r="H105" s="40">
        <f t="shared" si="64"/>
        <v>609.64027143678254</v>
      </c>
      <c r="I105" s="40">
        <f t="shared" si="64"/>
        <v>776.68170581046093</v>
      </c>
      <c r="J105" s="40">
        <f t="shared" si="64"/>
        <v>868.23617423200039</v>
      </c>
      <c r="K105" s="40">
        <f t="shared" si="64"/>
        <v>869.17747117563738</v>
      </c>
      <c r="L105" s="40">
        <f t="shared" si="64"/>
        <v>877.34773940468824</v>
      </c>
      <c r="M105" s="40">
        <f t="shared" si="64"/>
        <v>812.98002887423161</v>
      </c>
      <c r="N105" s="40">
        <f t="shared" si="64"/>
        <v>0</v>
      </c>
      <c r="O105" s="40">
        <f t="shared" si="64"/>
        <v>0</v>
      </c>
    </row>
    <row r="106" spans="1:15" x14ac:dyDescent="0.25">
      <c r="A106" s="82" t="s">
        <v>142</v>
      </c>
      <c r="B106" s="312" t="s">
        <v>25</v>
      </c>
      <c r="C106" s="39">
        <f t="shared" si="63"/>
        <v>6591.0449112615643</v>
      </c>
      <c r="D106" s="40">
        <f t="shared" ref="D106:O106" si="65">D83*D101/1000</f>
        <v>454.52054794520546</v>
      </c>
      <c r="E106" s="40">
        <f t="shared" si="65"/>
        <v>433.87150684931504</v>
      </c>
      <c r="F106" s="40">
        <f t="shared" si="65"/>
        <v>469.37116109589039</v>
      </c>
      <c r="G106" s="40">
        <f t="shared" si="65"/>
        <v>555.39198412273959</v>
      </c>
      <c r="H106" s="40">
        <f t="shared" si="65"/>
        <v>653.14097332834183</v>
      </c>
      <c r="I106" s="40">
        <f t="shared" si="65"/>
        <v>768.09378463412997</v>
      </c>
      <c r="J106" s="40">
        <f t="shared" si="65"/>
        <v>822.91907342382569</v>
      </c>
      <c r="K106" s="40">
        <f t="shared" si="65"/>
        <v>826.46769577184352</v>
      </c>
      <c r="L106" s="40">
        <f t="shared" si="65"/>
        <v>834.23649211209874</v>
      </c>
      <c r="M106" s="40">
        <f t="shared" si="65"/>
        <v>773.03169197817351</v>
      </c>
      <c r="N106" s="40">
        <f t="shared" si="65"/>
        <v>0</v>
      </c>
      <c r="O106" s="40">
        <f t="shared" si="65"/>
        <v>0</v>
      </c>
    </row>
    <row r="107" spans="1:15" x14ac:dyDescent="0.25">
      <c r="A107" s="82" t="s">
        <v>143</v>
      </c>
      <c r="B107" s="312" t="s">
        <v>25</v>
      </c>
      <c r="C107" s="39">
        <f t="shared" si="63"/>
        <v>2545.1373427088388</v>
      </c>
      <c r="D107" s="40">
        <f t="shared" ref="D107:O107" si="66">D84*D102/1000</f>
        <v>205.61643835616437</v>
      </c>
      <c r="E107" s="40">
        <f t="shared" si="66"/>
        <v>206.35041095890412</v>
      </c>
      <c r="F107" s="40">
        <f t="shared" si="66"/>
        <v>222.44574301369866</v>
      </c>
      <c r="G107" s="40">
        <f t="shared" si="66"/>
        <v>239.79651096876725</v>
      </c>
      <c r="H107" s="40">
        <f t="shared" si="66"/>
        <v>258.50063882433113</v>
      </c>
      <c r="I107" s="40">
        <f t="shared" si="66"/>
        <v>278.66368865262899</v>
      </c>
      <c r="J107" s="40">
        <f t="shared" si="66"/>
        <v>285.73223940026884</v>
      </c>
      <c r="K107" s="40">
        <f t="shared" si="66"/>
        <v>287.98144783915018</v>
      </c>
      <c r="L107" s="40">
        <f t="shared" si="66"/>
        <v>290.68847344883818</v>
      </c>
      <c r="M107" s="40">
        <f t="shared" si="66"/>
        <v>269.36175124608747</v>
      </c>
      <c r="N107" s="40">
        <f t="shared" si="66"/>
        <v>0</v>
      </c>
      <c r="O107" s="40">
        <f t="shared" si="66"/>
        <v>0</v>
      </c>
    </row>
    <row r="108" spans="1:15" s="105" customFormat="1" ht="18.75" x14ac:dyDescent="0.3">
      <c r="A108" s="103" t="s">
        <v>273</v>
      </c>
      <c r="B108" s="312" t="s">
        <v>25</v>
      </c>
      <c r="C108" s="104">
        <f>SUM(D108:O108)</f>
        <v>15590.092959201191</v>
      </c>
      <c r="D108" s="106">
        <f>SUM(D105:D107)</f>
        <v>1049.7260273972602</v>
      </c>
      <c r="E108" s="106">
        <f t="shared" ref="E108:O108" si="67">SUM(E105:E107)</f>
        <v>1012.1117808219178</v>
      </c>
      <c r="F108" s="106">
        <f t="shared" si="67"/>
        <v>1094.1350421917809</v>
      </c>
      <c r="G108" s="106">
        <f t="shared" si="67"/>
        <v>1271.2387671967124</v>
      </c>
      <c r="H108" s="106">
        <f t="shared" si="67"/>
        <v>1521.2818835894557</v>
      </c>
      <c r="I108" s="106">
        <f t="shared" si="67"/>
        <v>1823.4391790972199</v>
      </c>
      <c r="J108" s="106">
        <f t="shared" si="67"/>
        <v>1976.8874870560949</v>
      </c>
      <c r="K108" s="106">
        <f t="shared" si="67"/>
        <v>1983.6266147866311</v>
      </c>
      <c r="L108" s="106">
        <f t="shared" si="67"/>
        <v>2002.2727049656251</v>
      </c>
      <c r="M108" s="106">
        <f t="shared" si="67"/>
        <v>1855.3734720984926</v>
      </c>
      <c r="N108" s="106">
        <f t="shared" si="67"/>
        <v>0</v>
      </c>
      <c r="O108" s="106">
        <f t="shared" si="67"/>
        <v>0</v>
      </c>
    </row>
    <row r="109" spans="1:15" s="17" customFormat="1" ht="14.45" customHeight="1" x14ac:dyDescent="0.25">
      <c r="B109" s="14"/>
      <c r="C109" s="40"/>
      <c r="D109" s="40"/>
      <c r="E109" s="40"/>
      <c r="F109" s="40"/>
      <c r="G109" s="40"/>
      <c r="H109" s="40"/>
      <c r="I109" s="40"/>
      <c r="J109" s="40"/>
      <c r="K109" s="40"/>
      <c r="L109" s="40"/>
      <c r="M109" s="40"/>
      <c r="N109" s="40"/>
      <c r="O109" s="40"/>
    </row>
    <row r="110" spans="1:15" s="46" customFormat="1" ht="45" customHeight="1" x14ac:dyDescent="0.25">
      <c r="A110" s="87" t="s">
        <v>250</v>
      </c>
      <c r="B110" s="29"/>
      <c r="C110" s="62"/>
      <c r="D110" s="74"/>
      <c r="E110" s="74"/>
      <c r="F110" s="74"/>
      <c r="G110" s="74"/>
      <c r="H110" s="74"/>
      <c r="I110" s="74"/>
      <c r="J110" s="74"/>
      <c r="K110" s="74"/>
      <c r="L110" s="74"/>
      <c r="M110" s="74"/>
      <c r="N110" s="74"/>
      <c r="O110" s="74"/>
    </row>
    <row r="111" spans="1:15" x14ac:dyDescent="0.25">
      <c r="A111" s="43" t="s">
        <v>425</v>
      </c>
      <c r="D111" s="1"/>
      <c r="E111" s="1"/>
      <c r="F111" s="1"/>
      <c r="G111" s="1"/>
      <c r="H111" s="1"/>
      <c r="I111" s="1"/>
      <c r="J111" s="1"/>
      <c r="K111" s="1"/>
      <c r="L111" s="1"/>
      <c r="M111" s="1"/>
      <c r="N111" s="1"/>
      <c r="O111" s="8"/>
    </row>
    <row r="112" spans="1:15" x14ac:dyDescent="0.25">
      <c r="A112" s="82" t="s">
        <v>426</v>
      </c>
      <c r="B112" s="312" t="str">
        <f>B85</f>
        <v>units</v>
      </c>
      <c r="C112" s="39">
        <f t="shared" ref="C112" si="68">SUM(D112:O112)</f>
        <v>735565.2536666526</v>
      </c>
      <c r="D112" s="40">
        <f t="shared" ref="D112:O112" si="69">D85</f>
        <v>43287.67123287671</v>
      </c>
      <c r="E112" s="40">
        <f t="shared" si="69"/>
        <v>42434.931506849316</v>
      </c>
      <c r="F112" s="40">
        <f t="shared" si="69"/>
        <v>46822.260273972614</v>
      </c>
      <c r="G112" s="40">
        <f t="shared" si="69"/>
        <v>55879.246575342477</v>
      </c>
      <c r="H112" s="40">
        <f t="shared" si="69"/>
        <v>69384.458904109604</v>
      </c>
      <c r="I112" s="40">
        <f t="shared" si="69"/>
        <v>86195.781506849336</v>
      </c>
      <c r="J112" s="40">
        <f t="shared" si="69"/>
        <v>96117.075924657547</v>
      </c>
      <c r="K112" s="40">
        <f t="shared" si="69"/>
        <v>98353.056777739752</v>
      </c>
      <c r="L112" s="40">
        <f t="shared" si="69"/>
        <v>101303.64848107193</v>
      </c>
      <c r="M112" s="40">
        <f t="shared" si="69"/>
        <v>95787.122483183339</v>
      </c>
      <c r="N112" s="40">
        <f t="shared" si="69"/>
        <v>0</v>
      </c>
      <c r="O112" s="40">
        <f t="shared" si="69"/>
        <v>0</v>
      </c>
    </row>
    <row r="113" spans="1:15" x14ac:dyDescent="0.25">
      <c r="A113" s="51" t="s">
        <v>144</v>
      </c>
      <c r="B113" s="311" t="s">
        <v>26</v>
      </c>
      <c r="C113" s="39"/>
      <c r="D113" s="207">
        <v>4.5</v>
      </c>
      <c r="E113" s="207">
        <f>D113</f>
        <v>4.5</v>
      </c>
      <c r="F113" s="207">
        <f>E113</f>
        <v>4.5</v>
      </c>
      <c r="G113" s="207">
        <f t="shared" ref="G113" si="70">F113</f>
        <v>4.5</v>
      </c>
      <c r="H113" s="207">
        <f t="shared" ref="H113" si="71">G113</f>
        <v>4.5</v>
      </c>
      <c r="I113" s="207">
        <f t="shared" ref="I113" si="72">H113</f>
        <v>4.5</v>
      </c>
      <c r="J113" s="207">
        <f t="shared" ref="J113" si="73">I113</f>
        <v>4.5</v>
      </c>
      <c r="K113" s="207">
        <f t="shared" ref="K113" si="74">J113</f>
        <v>4.5</v>
      </c>
      <c r="L113" s="207">
        <f t="shared" ref="L113" si="75">K113</f>
        <v>4.5</v>
      </c>
      <c r="M113" s="207">
        <f t="shared" ref="M113" si="76">L113</f>
        <v>4.5</v>
      </c>
      <c r="N113" s="207">
        <f t="shared" ref="N113" si="77">M113</f>
        <v>4.5</v>
      </c>
      <c r="O113" s="207">
        <f t="shared" ref="O113" si="78">N113</f>
        <v>4.5</v>
      </c>
    </row>
    <row r="114" spans="1:15" s="105" customFormat="1" ht="18.75" x14ac:dyDescent="0.3">
      <c r="A114" s="103" t="s">
        <v>427</v>
      </c>
      <c r="B114" s="312" t="s">
        <v>25</v>
      </c>
      <c r="C114" s="104">
        <f>SUM(D114:O114)</f>
        <v>3310.0436414999367</v>
      </c>
      <c r="D114" s="106">
        <f>D112*D113/1000</f>
        <v>194.79452054794521</v>
      </c>
      <c r="E114" s="106">
        <f t="shared" ref="E114:O114" si="79">E112*E113/1000</f>
        <v>190.95719178082192</v>
      </c>
      <c r="F114" s="106">
        <f t="shared" si="79"/>
        <v>210.70017123287678</v>
      </c>
      <c r="G114" s="106">
        <f t="shared" si="79"/>
        <v>251.45660958904116</v>
      </c>
      <c r="H114" s="106">
        <f>H112*H113/1000</f>
        <v>312.23006506849327</v>
      </c>
      <c r="I114" s="106">
        <f t="shared" si="79"/>
        <v>387.88101678082199</v>
      </c>
      <c r="J114" s="106">
        <f t="shared" si="79"/>
        <v>432.52684166095895</v>
      </c>
      <c r="K114" s="106">
        <f t="shared" si="79"/>
        <v>442.58875549982889</v>
      </c>
      <c r="L114" s="106">
        <f t="shared" si="79"/>
        <v>455.86641816482364</v>
      </c>
      <c r="M114" s="106">
        <f t="shared" si="79"/>
        <v>431.04205117432508</v>
      </c>
      <c r="N114" s="106">
        <f t="shared" si="79"/>
        <v>0</v>
      </c>
      <c r="O114" s="106">
        <f t="shared" si="79"/>
        <v>0</v>
      </c>
    </row>
    <row r="115" spans="1:15" s="17" customFormat="1" ht="14.45" customHeight="1" x14ac:dyDescent="0.25">
      <c r="B115" s="14"/>
      <c r="C115" s="40"/>
      <c r="D115" s="40"/>
      <c r="E115" s="40"/>
      <c r="F115" s="40"/>
      <c r="G115" s="40"/>
      <c r="H115" s="40"/>
      <c r="I115" s="40"/>
      <c r="J115" s="40"/>
      <c r="K115" s="40"/>
      <c r="L115" s="40"/>
      <c r="M115" s="40"/>
      <c r="N115" s="40"/>
      <c r="O115" s="40"/>
    </row>
    <row r="116" spans="1:15" s="46" customFormat="1" ht="45" customHeight="1" x14ac:dyDescent="0.25">
      <c r="A116" s="87" t="s">
        <v>198</v>
      </c>
      <c r="B116" s="29"/>
      <c r="C116" s="62"/>
      <c r="D116" s="74"/>
      <c r="E116" s="74"/>
      <c r="F116" s="74"/>
      <c r="G116" s="74"/>
      <c r="H116" s="74"/>
      <c r="I116" s="74"/>
      <c r="J116" s="74"/>
      <c r="K116" s="74"/>
      <c r="L116" s="74"/>
      <c r="M116" s="74"/>
      <c r="N116" s="74"/>
      <c r="O116" s="74"/>
    </row>
    <row r="117" spans="1:15" x14ac:dyDescent="0.25">
      <c r="A117" s="43" t="s">
        <v>145</v>
      </c>
      <c r="D117" s="1"/>
      <c r="E117" s="1"/>
      <c r="F117" s="1"/>
      <c r="G117" s="1"/>
      <c r="H117" s="1"/>
      <c r="I117" s="1"/>
      <c r="J117" s="1"/>
      <c r="K117" s="1"/>
      <c r="L117" s="1"/>
      <c r="M117" s="1"/>
      <c r="N117" s="1"/>
      <c r="O117" s="8"/>
    </row>
    <row r="118" spans="1:15" s="9" customFormat="1" x14ac:dyDescent="0.25">
      <c r="A118" s="220" t="str">
        <f>'Sales&amp;Revenue'!A$65</f>
        <v>Total ABC units sold</v>
      </c>
      <c r="B118" s="310" t="str">
        <f>'Sales&amp;Revenue'!B$65</f>
        <v>units</v>
      </c>
      <c r="C118" s="215">
        <f>'Sales&amp;Revenue'!C$65</f>
        <v>735565.2536666526</v>
      </c>
      <c r="D118" s="215">
        <f>'Sales&amp;Revenue'!D$65</f>
        <v>40000</v>
      </c>
      <c r="E118" s="215">
        <f>'Sales&amp;Revenue'!E$65</f>
        <v>42250</v>
      </c>
      <c r="F118" s="215">
        <f>'Sales&amp;Revenue'!F$65</f>
        <v>46475</v>
      </c>
      <c r="G118" s="215">
        <f>'Sales&amp;Revenue'!G$65</f>
        <v>55165</v>
      </c>
      <c r="H118" s="215">
        <f>'Sales&amp;Revenue'!H$65</f>
        <v>68304.500000000015</v>
      </c>
      <c r="I118" s="215">
        <f>'Sales&amp;Revenue'!I$65</f>
        <v>84836.950000000012</v>
      </c>
      <c r="J118" s="215">
        <f>'Sales&amp;Revenue'!J$65</f>
        <v>95260.357500000013</v>
      </c>
      <c r="K118" s="215">
        <f>'Sales&amp;Revenue'!K$65</f>
        <v>98118.168225000016</v>
      </c>
      <c r="L118" s="215">
        <f>'Sales&amp;Revenue'!L$65</f>
        <v>101061.71327175002</v>
      </c>
      <c r="M118" s="215">
        <f>'Sales&amp;Revenue'!M$65</f>
        <v>104093.56466990251</v>
      </c>
      <c r="N118" s="215">
        <f>'Sales&amp;Revenue'!N$65</f>
        <v>0</v>
      </c>
      <c r="O118" s="215">
        <f>'Sales&amp;Revenue'!O$65</f>
        <v>0</v>
      </c>
    </row>
    <row r="119" spans="1:15" x14ac:dyDescent="0.25">
      <c r="A119" s="51" t="s">
        <v>146</v>
      </c>
      <c r="B119" s="311" t="s">
        <v>26</v>
      </c>
      <c r="C119" s="39"/>
      <c r="D119" s="207">
        <v>4.6500000000000004</v>
      </c>
      <c r="E119" s="207">
        <f>D119</f>
        <v>4.6500000000000004</v>
      </c>
      <c r="F119" s="207">
        <f>E119</f>
        <v>4.6500000000000004</v>
      </c>
      <c r="G119" s="207">
        <f t="shared" ref="G119" si="80">F119</f>
        <v>4.6500000000000004</v>
      </c>
      <c r="H119" s="207">
        <f t="shared" ref="H119" si="81">G119</f>
        <v>4.6500000000000004</v>
      </c>
      <c r="I119" s="207">
        <f t="shared" ref="I119" si="82">H119</f>
        <v>4.6500000000000004</v>
      </c>
      <c r="J119" s="207">
        <f t="shared" ref="J119" si="83">I119</f>
        <v>4.6500000000000004</v>
      </c>
      <c r="K119" s="207">
        <f t="shared" ref="K119" si="84">J119</f>
        <v>4.6500000000000004</v>
      </c>
      <c r="L119" s="207">
        <f t="shared" ref="L119" si="85">K119</f>
        <v>4.6500000000000004</v>
      </c>
      <c r="M119" s="207">
        <f t="shared" ref="M119" si="86">L119</f>
        <v>4.6500000000000004</v>
      </c>
      <c r="N119" s="207">
        <f t="shared" ref="N119" si="87">M119</f>
        <v>4.6500000000000004</v>
      </c>
      <c r="O119" s="207">
        <f t="shared" ref="O119" si="88">N119</f>
        <v>4.6500000000000004</v>
      </c>
    </row>
    <row r="120" spans="1:15" s="105" customFormat="1" ht="18.75" x14ac:dyDescent="0.3">
      <c r="A120" s="103" t="s">
        <v>202</v>
      </c>
      <c r="B120" s="312" t="s">
        <v>25</v>
      </c>
      <c r="C120" s="104">
        <f>SUM(D120:O120)</f>
        <v>3420.3784295499345</v>
      </c>
      <c r="D120" s="106">
        <f>D118*D119/1000</f>
        <v>186</v>
      </c>
      <c r="E120" s="106">
        <f t="shared" ref="E120" si="89">E118*E119/1000</f>
        <v>196.46250000000003</v>
      </c>
      <c r="F120" s="106">
        <f t="shared" ref="F120" si="90">F118*F119/1000</f>
        <v>216.10875000000004</v>
      </c>
      <c r="G120" s="106">
        <f t="shared" ref="G120" si="91">G118*G119/1000</f>
        <v>256.51725000000005</v>
      </c>
      <c r="H120" s="106">
        <f t="shared" ref="H120" si="92">H118*H119/1000</f>
        <v>317.61592500000012</v>
      </c>
      <c r="I120" s="106">
        <f t="shared" ref="I120" si="93">I118*I119/1000</f>
        <v>394.49181750000008</v>
      </c>
      <c r="J120" s="106">
        <f t="shared" ref="J120" si="94">J118*J119/1000</f>
        <v>442.96066237500008</v>
      </c>
      <c r="K120" s="106">
        <f t="shared" ref="K120" si="95">K118*K119/1000</f>
        <v>456.24948224625007</v>
      </c>
      <c r="L120" s="106">
        <f t="shared" ref="L120" si="96">L118*L119/1000</f>
        <v>469.93696671363762</v>
      </c>
      <c r="M120" s="106">
        <f t="shared" ref="M120" si="97">M118*M119/1000</f>
        <v>484.03507571504673</v>
      </c>
      <c r="N120" s="106">
        <f t="shared" ref="N120" si="98">N118*N119/1000</f>
        <v>0</v>
      </c>
      <c r="O120" s="106">
        <f t="shared" ref="O120" si="99">O118*O119/1000</f>
        <v>0</v>
      </c>
    </row>
    <row r="121" spans="1:15" s="17" customFormat="1" ht="14.45" customHeight="1" x14ac:dyDescent="0.25">
      <c r="B121" s="14"/>
      <c r="C121" s="40"/>
      <c r="D121" s="40"/>
      <c r="E121" s="40"/>
      <c r="F121" s="40"/>
      <c r="G121" s="40"/>
      <c r="H121" s="40"/>
      <c r="I121" s="40"/>
      <c r="J121" s="40"/>
      <c r="K121" s="40"/>
      <c r="L121" s="40"/>
      <c r="M121" s="40"/>
      <c r="N121" s="40"/>
      <c r="O121" s="40"/>
    </row>
    <row r="122" spans="1:15" s="291" customFormat="1" ht="21.75" customHeight="1" x14ac:dyDescent="0.35">
      <c r="A122" s="67" t="str">
        <f>A92</f>
        <v>3b.  Variable Costs</v>
      </c>
      <c r="B122" s="312" t="s">
        <v>25</v>
      </c>
      <c r="C122" s="104">
        <f>SUM(D122:O122)</f>
        <v>22320.515030251059</v>
      </c>
      <c r="D122" s="106">
        <f>D108+D114+D120</f>
        <v>1430.5205479452054</v>
      </c>
      <c r="E122" s="106">
        <f t="shared" ref="E122:O122" si="100">E108+E114+E120</f>
        <v>1399.5314726027398</v>
      </c>
      <c r="F122" s="106">
        <f t="shared" si="100"/>
        <v>1520.9439634246578</v>
      </c>
      <c r="G122" s="106">
        <f t="shared" si="100"/>
        <v>1779.2126267857536</v>
      </c>
      <c r="H122" s="106">
        <f t="shared" si="100"/>
        <v>2151.1278736579493</v>
      </c>
      <c r="I122" s="106">
        <f>I108+I114+I120</f>
        <v>2605.8120133780421</v>
      </c>
      <c r="J122" s="106">
        <f t="shared" si="100"/>
        <v>2852.3749910920537</v>
      </c>
      <c r="K122" s="106">
        <f t="shared" si="100"/>
        <v>2882.4648525327098</v>
      </c>
      <c r="L122" s="106">
        <f t="shared" si="100"/>
        <v>2928.0760898440863</v>
      </c>
      <c r="M122" s="106">
        <f t="shared" si="100"/>
        <v>2770.4505989878644</v>
      </c>
      <c r="N122" s="106">
        <f t="shared" si="100"/>
        <v>0</v>
      </c>
      <c r="O122" s="106">
        <f t="shared" si="100"/>
        <v>0</v>
      </c>
    </row>
    <row r="123" spans="1:15" s="17" customFormat="1" ht="48.75" customHeight="1" x14ac:dyDescent="0.25">
      <c r="B123" s="14"/>
      <c r="C123" s="40"/>
      <c r="D123" s="40"/>
      <c r="E123" s="40"/>
      <c r="F123" s="40"/>
      <c r="G123" s="40"/>
      <c r="H123" s="40"/>
      <c r="I123" s="40"/>
      <c r="J123" s="40"/>
      <c r="K123" s="40"/>
      <c r="L123" s="40"/>
      <c r="M123" s="40"/>
      <c r="N123" s="40"/>
      <c r="O123" s="40"/>
    </row>
    <row r="124" spans="1:15" s="46" customFormat="1" ht="45" customHeight="1" x14ac:dyDescent="0.25">
      <c r="A124" s="28" t="s">
        <v>199</v>
      </c>
      <c r="B124" s="29"/>
      <c r="C124" s="62"/>
      <c r="D124" s="74"/>
      <c r="E124" s="74"/>
      <c r="F124" s="74"/>
      <c r="G124" s="74"/>
      <c r="H124" s="74"/>
      <c r="I124" s="74"/>
      <c r="J124" s="74"/>
      <c r="K124" s="74"/>
      <c r="L124" s="74"/>
      <c r="M124" s="74"/>
      <c r="N124" s="74"/>
      <c r="O124" s="74"/>
    </row>
    <row r="125" spans="1:15" s="46" customFormat="1" ht="45" customHeight="1" x14ac:dyDescent="0.25">
      <c r="A125" s="87" t="s">
        <v>200</v>
      </c>
      <c r="B125" s="29"/>
      <c r="C125" s="62"/>
      <c r="D125" s="74"/>
      <c r="E125" s="74"/>
      <c r="F125" s="74"/>
      <c r="G125" s="74"/>
      <c r="H125" s="74"/>
      <c r="I125" s="74"/>
      <c r="J125" s="74"/>
      <c r="K125" s="74"/>
      <c r="L125" s="74"/>
      <c r="M125" s="74"/>
      <c r="N125" s="74"/>
      <c r="O125" s="74"/>
    </row>
    <row r="126" spans="1:15" s="17" customFormat="1" x14ac:dyDescent="0.25">
      <c r="A126" s="43" t="s">
        <v>147</v>
      </c>
      <c r="B126" s="14"/>
      <c r="C126" s="40"/>
      <c r="D126" s="40"/>
      <c r="E126" s="40"/>
      <c r="F126" s="40"/>
      <c r="G126" s="40"/>
      <c r="H126" s="40"/>
      <c r="I126" s="40"/>
      <c r="J126" s="40"/>
      <c r="K126" s="40"/>
      <c r="L126" s="40"/>
      <c r="M126" s="40"/>
      <c r="N126" s="40"/>
      <c r="O126" s="40"/>
    </row>
    <row r="127" spans="1:15" s="17" customFormat="1" x14ac:dyDescent="0.25">
      <c r="A127" s="109" t="s">
        <v>148</v>
      </c>
      <c r="B127" s="14"/>
      <c r="C127" s="40"/>
      <c r="D127" s="40"/>
      <c r="E127" s="40"/>
      <c r="F127" s="40"/>
      <c r="G127" s="40"/>
      <c r="H127" s="40"/>
      <c r="I127" s="40"/>
      <c r="J127" s="40"/>
      <c r="K127" s="40"/>
      <c r="L127" s="40"/>
      <c r="M127" s="40"/>
      <c r="N127" s="40"/>
      <c r="O127" s="40"/>
    </row>
    <row r="128" spans="1:15" s="17" customFormat="1" ht="18" customHeight="1" x14ac:dyDescent="0.25">
      <c r="A128" s="51" t="s">
        <v>151</v>
      </c>
      <c r="B128" s="311" t="s">
        <v>25</v>
      </c>
      <c r="C128" s="39">
        <f t="shared" ref="C128" si="101">SUM(D128:O128)</f>
        <v>180</v>
      </c>
      <c r="D128" s="50">
        <v>15</v>
      </c>
      <c r="E128" s="40">
        <f>D128</f>
        <v>15</v>
      </c>
      <c r="F128" s="40">
        <f t="shared" ref="F128:O128" si="102">E128</f>
        <v>15</v>
      </c>
      <c r="G128" s="40">
        <f t="shared" si="102"/>
        <v>15</v>
      </c>
      <c r="H128" s="40">
        <f t="shared" si="102"/>
        <v>15</v>
      </c>
      <c r="I128" s="40">
        <f t="shared" si="102"/>
        <v>15</v>
      </c>
      <c r="J128" s="40">
        <f t="shared" si="102"/>
        <v>15</v>
      </c>
      <c r="K128" s="40">
        <f t="shared" si="102"/>
        <v>15</v>
      </c>
      <c r="L128" s="40">
        <f t="shared" si="102"/>
        <v>15</v>
      </c>
      <c r="M128" s="40">
        <f t="shared" si="102"/>
        <v>15</v>
      </c>
      <c r="N128" s="40">
        <f t="shared" si="102"/>
        <v>15</v>
      </c>
      <c r="O128" s="40">
        <f t="shared" si="102"/>
        <v>15</v>
      </c>
    </row>
    <row r="129" spans="1:17" s="17" customFormat="1" ht="18" customHeight="1" x14ac:dyDescent="0.25">
      <c r="A129" s="51" t="s">
        <v>152</v>
      </c>
      <c r="B129" s="311" t="s">
        <v>25</v>
      </c>
      <c r="C129" s="39">
        <f t="shared" ref="C129:C142" si="103">SUM(D129:O129)</f>
        <v>130</v>
      </c>
      <c r="D129" s="206"/>
      <c r="E129" s="40"/>
      <c r="F129" s="45">
        <v>13</v>
      </c>
      <c r="G129" s="40">
        <f>F129</f>
        <v>13</v>
      </c>
      <c r="H129" s="40">
        <f t="shared" ref="H129:O129" si="104">G129</f>
        <v>13</v>
      </c>
      <c r="I129" s="40">
        <f t="shared" si="104"/>
        <v>13</v>
      </c>
      <c r="J129" s="40">
        <f t="shared" si="104"/>
        <v>13</v>
      </c>
      <c r="K129" s="40">
        <f t="shared" si="104"/>
        <v>13</v>
      </c>
      <c r="L129" s="40">
        <f t="shared" si="104"/>
        <v>13</v>
      </c>
      <c r="M129" s="40">
        <f t="shared" si="104"/>
        <v>13</v>
      </c>
      <c r="N129" s="40">
        <f t="shared" si="104"/>
        <v>13</v>
      </c>
      <c r="O129" s="40">
        <f t="shared" si="104"/>
        <v>13</v>
      </c>
    </row>
    <row r="130" spans="1:17" s="17" customFormat="1" ht="18" customHeight="1" x14ac:dyDescent="0.25">
      <c r="A130" s="51" t="s">
        <v>153</v>
      </c>
      <c r="B130" s="311" t="s">
        <v>25</v>
      </c>
      <c r="C130" s="39">
        <f t="shared" ref="C130" si="105">SUM(D130:O130)</f>
        <v>117</v>
      </c>
      <c r="D130" s="206"/>
      <c r="E130" s="40"/>
      <c r="F130" s="40"/>
      <c r="G130" s="45">
        <v>13</v>
      </c>
      <c r="H130" s="40">
        <f>G130</f>
        <v>13</v>
      </c>
      <c r="I130" s="40">
        <f t="shared" ref="I130:O130" si="106">H130</f>
        <v>13</v>
      </c>
      <c r="J130" s="40">
        <f t="shared" si="106"/>
        <v>13</v>
      </c>
      <c r="K130" s="40">
        <f t="shared" si="106"/>
        <v>13</v>
      </c>
      <c r="L130" s="40">
        <f t="shared" si="106"/>
        <v>13</v>
      </c>
      <c r="M130" s="40">
        <f t="shared" si="106"/>
        <v>13</v>
      </c>
      <c r="N130" s="40">
        <f t="shared" si="106"/>
        <v>13</v>
      </c>
      <c r="O130" s="40">
        <f t="shared" si="106"/>
        <v>13</v>
      </c>
    </row>
    <row r="131" spans="1:17" s="17" customFormat="1" x14ac:dyDescent="0.25">
      <c r="A131" s="51" t="s">
        <v>154</v>
      </c>
      <c r="B131" s="311" t="s">
        <v>25</v>
      </c>
      <c r="C131" s="39">
        <f t="shared" si="103"/>
        <v>144</v>
      </c>
      <c r="D131" s="50">
        <v>12</v>
      </c>
      <c r="E131" s="40">
        <f>D131</f>
        <v>12</v>
      </c>
      <c r="F131" s="40">
        <f t="shared" ref="F131:O131" si="107">E131</f>
        <v>12</v>
      </c>
      <c r="G131" s="40">
        <f t="shared" si="107"/>
        <v>12</v>
      </c>
      <c r="H131" s="40">
        <f t="shared" si="107"/>
        <v>12</v>
      </c>
      <c r="I131" s="40">
        <f t="shared" si="107"/>
        <v>12</v>
      </c>
      <c r="J131" s="40">
        <f t="shared" si="107"/>
        <v>12</v>
      </c>
      <c r="K131" s="40">
        <f t="shared" si="107"/>
        <v>12</v>
      </c>
      <c r="L131" s="40">
        <f t="shared" si="107"/>
        <v>12</v>
      </c>
      <c r="M131" s="40">
        <f t="shared" si="107"/>
        <v>12</v>
      </c>
      <c r="N131" s="40">
        <f t="shared" si="107"/>
        <v>12</v>
      </c>
      <c r="O131" s="40">
        <f t="shared" si="107"/>
        <v>12</v>
      </c>
    </row>
    <row r="132" spans="1:17" s="17" customFormat="1" x14ac:dyDescent="0.25">
      <c r="A132" s="51" t="s">
        <v>160</v>
      </c>
      <c r="B132" s="311" t="s">
        <v>25</v>
      </c>
      <c r="C132" s="39">
        <f>SUM(D132:O132)</f>
        <v>120</v>
      </c>
      <c r="D132" s="50">
        <v>10</v>
      </c>
      <c r="E132" s="40">
        <f t="shared" ref="E132:O141" si="108">D132</f>
        <v>10</v>
      </c>
      <c r="F132" s="40">
        <f t="shared" si="108"/>
        <v>10</v>
      </c>
      <c r="G132" s="40">
        <f t="shared" si="108"/>
        <v>10</v>
      </c>
      <c r="H132" s="40">
        <f t="shared" si="108"/>
        <v>10</v>
      </c>
      <c r="I132" s="40">
        <f t="shared" si="108"/>
        <v>10</v>
      </c>
      <c r="J132" s="40">
        <f t="shared" si="108"/>
        <v>10</v>
      </c>
      <c r="K132" s="40">
        <f t="shared" si="108"/>
        <v>10</v>
      </c>
      <c r="L132" s="40">
        <f t="shared" si="108"/>
        <v>10</v>
      </c>
      <c r="M132" s="40">
        <f t="shared" si="108"/>
        <v>10</v>
      </c>
      <c r="N132" s="40">
        <f t="shared" si="108"/>
        <v>10</v>
      </c>
      <c r="O132" s="40">
        <f t="shared" si="108"/>
        <v>10</v>
      </c>
    </row>
    <row r="133" spans="1:17" s="17" customFormat="1" x14ac:dyDescent="0.25">
      <c r="A133" s="51" t="s">
        <v>155</v>
      </c>
      <c r="B133" s="311" t="s">
        <v>25</v>
      </c>
      <c r="C133" s="39">
        <f>SUM(D133:O133)</f>
        <v>96</v>
      </c>
      <c r="D133" s="50">
        <v>8</v>
      </c>
      <c r="E133" s="40">
        <f t="shared" si="108"/>
        <v>8</v>
      </c>
      <c r="F133" s="40">
        <f t="shared" si="108"/>
        <v>8</v>
      </c>
      <c r="G133" s="40">
        <f t="shared" si="108"/>
        <v>8</v>
      </c>
      <c r="H133" s="40">
        <f t="shared" si="108"/>
        <v>8</v>
      </c>
      <c r="I133" s="40">
        <f t="shared" si="108"/>
        <v>8</v>
      </c>
      <c r="J133" s="40">
        <f t="shared" si="108"/>
        <v>8</v>
      </c>
      <c r="K133" s="40">
        <f t="shared" si="108"/>
        <v>8</v>
      </c>
      <c r="L133" s="40">
        <f t="shared" si="108"/>
        <v>8</v>
      </c>
      <c r="M133" s="40">
        <f t="shared" si="108"/>
        <v>8</v>
      </c>
      <c r="N133" s="40">
        <f t="shared" si="108"/>
        <v>8</v>
      </c>
      <c r="O133" s="40">
        <f t="shared" si="108"/>
        <v>8</v>
      </c>
    </row>
    <row r="134" spans="1:17" s="17" customFormat="1" x14ac:dyDescent="0.25">
      <c r="A134" s="109" t="s">
        <v>149</v>
      </c>
      <c r="B134" s="14"/>
      <c r="C134" s="40"/>
      <c r="D134" s="206"/>
      <c r="E134" s="40"/>
      <c r="F134" s="40"/>
      <c r="G134" s="40"/>
      <c r="H134" s="40"/>
      <c r="I134" s="40"/>
      <c r="J134" s="40"/>
      <c r="K134" s="40"/>
      <c r="L134" s="40"/>
      <c r="M134" s="40"/>
      <c r="N134" s="40"/>
      <c r="O134" s="40"/>
    </row>
    <row r="135" spans="1:17" s="17" customFormat="1" x14ac:dyDescent="0.25">
      <c r="A135" s="51" t="s">
        <v>157</v>
      </c>
      <c r="B135" s="311" t="s">
        <v>25</v>
      </c>
      <c r="C135" s="39">
        <f t="shared" ref="C135" si="109">SUM(D135:O135)</f>
        <v>300</v>
      </c>
      <c r="D135" s="50">
        <v>25</v>
      </c>
      <c r="E135" s="40">
        <f t="shared" si="108"/>
        <v>25</v>
      </c>
      <c r="F135" s="40">
        <f t="shared" si="108"/>
        <v>25</v>
      </c>
      <c r="G135" s="40">
        <f t="shared" si="108"/>
        <v>25</v>
      </c>
      <c r="H135" s="40">
        <f t="shared" si="108"/>
        <v>25</v>
      </c>
      <c r="I135" s="40">
        <f t="shared" si="108"/>
        <v>25</v>
      </c>
      <c r="J135" s="40">
        <f t="shared" si="108"/>
        <v>25</v>
      </c>
      <c r="K135" s="40">
        <f t="shared" si="108"/>
        <v>25</v>
      </c>
      <c r="L135" s="40">
        <f t="shared" si="108"/>
        <v>25</v>
      </c>
      <c r="M135" s="40">
        <f t="shared" si="108"/>
        <v>25</v>
      </c>
      <c r="N135" s="40">
        <f t="shared" si="108"/>
        <v>25</v>
      </c>
      <c r="O135" s="40">
        <f t="shared" si="108"/>
        <v>25</v>
      </c>
    </row>
    <row r="136" spans="1:17" s="17" customFormat="1" x14ac:dyDescent="0.25">
      <c r="A136" s="51" t="s">
        <v>158</v>
      </c>
      <c r="B136" s="311" t="s">
        <v>25</v>
      </c>
      <c r="C136" s="39">
        <f t="shared" si="103"/>
        <v>240</v>
      </c>
      <c r="D136" s="50">
        <v>20</v>
      </c>
      <c r="E136" s="40">
        <f t="shared" si="108"/>
        <v>20</v>
      </c>
      <c r="F136" s="40">
        <f t="shared" si="108"/>
        <v>20</v>
      </c>
      <c r="G136" s="40">
        <f t="shared" si="108"/>
        <v>20</v>
      </c>
      <c r="H136" s="40">
        <f t="shared" si="108"/>
        <v>20</v>
      </c>
      <c r="I136" s="40">
        <f t="shared" si="108"/>
        <v>20</v>
      </c>
      <c r="J136" s="40">
        <f t="shared" si="108"/>
        <v>20</v>
      </c>
      <c r="K136" s="40">
        <f t="shared" si="108"/>
        <v>20</v>
      </c>
      <c r="L136" s="40">
        <f t="shared" si="108"/>
        <v>20</v>
      </c>
      <c r="M136" s="40">
        <f t="shared" si="108"/>
        <v>20</v>
      </c>
      <c r="N136" s="40">
        <f t="shared" si="108"/>
        <v>20</v>
      </c>
      <c r="O136" s="40">
        <f t="shared" si="108"/>
        <v>20</v>
      </c>
    </row>
    <row r="137" spans="1:17" s="17" customFormat="1" x14ac:dyDescent="0.25">
      <c r="A137" s="109" t="s">
        <v>159</v>
      </c>
      <c r="B137" s="14"/>
      <c r="C137" s="40"/>
      <c r="D137" s="206"/>
      <c r="E137" s="40"/>
      <c r="F137" s="40"/>
      <c r="G137" s="40"/>
      <c r="H137" s="40"/>
      <c r="I137" s="40"/>
      <c r="J137" s="40"/>
      <c r="K137" s="40"/>
      <c r="L137" s="40"/>
      <c r="M137" s="40"/>
      <c r="N137" s="40"/>
      <c r="O137" s="40"/>
    </row>
    <row r="138" spans="1:17" s="17" customFormat="1" x14ac:dyDescent="0.25">
      <c r="A138" s="51" t="s">
        <v>150</v>
      </c>
      <c r="B138" s="311" t="s">
        <v>25</v>
      </c>
      <c r="C138" s="39">
        <f>SUM(D138:O138)</f>
        <v>412.77600000000012</v>
      </c>
      <c r="D138" s="50">
        <v>34.398000000000003</v>
      </c>
      <c r="E138" s="40">
        <f t="shared" si="108"/>
        <v>34.398000000000003</v>
      </c>
      <c r="F138" s="40">
        <f t="shared" si="108"/>
        <v>34.398000000000003</v>
      </c>
      <c r="G138" s="40">
        <f t="shared" si="108"/>
        <v>34.398000000000003</v>
      </c>
      <c r="H138" s="40">
        <f t="shared" si="108"/>
        <v>34.398000000000003</v>
      </c>
      <c r="I138" s="40">
        <f t="shared" si="108"/>
        <v>34.398000000000003</v>
      </c>
      <c r="J138" s="40">
        <f t="shared" si="108"/>
        <v>34.398000000000003</v>
      </c>
      <c r="K138" s="40">
        <f t="shared" si="108"/>
        <v>34.398000000000003</v>
      </c>
      <c r="L138" s="40">
        <f t="shared" si="108"/>
        <v>34.398000000000003</v>
      </c>
      <c r="M138" s="40">
        <f t="shared" si="108"/>
        <v>34.398000000000003</v>
      </c>
      <c r="N138" s="40">
        <f t="shared" si="108"/>
        <v>34.398000000000003</v>
      </c>
      <c r="O138" s="40">
        <f t="shared" si="108"/>
        <v>34.398000000000003</v>
      </c>
    </row>
    <row r="139" spans="1:17" s="17" customFormat="1" x14ac:dyDescent="0.25">
      <c r="A139" s="51" t="s">
        <v>161</v>
      </c>
      <c r="B139" s="311" t="s">
        <v>25</v>
      </c>
      <c r="C139" s="39">
        <f t="shared" si="103"/>
        <v>216</v>
      </c>
      <c r="D139" s="50">
        <v>18</v>
      </c>
      <c r="E139" s="40">
        <f t="shared" si="108"/>
        <v>18</v>
      </c>
      <c r="F139" s="40">
        <f t="shared" si="108"/>
        <v>18</v>
      </c>
      <c r="G139" s="40">
        <f t="shared" si="108"/>
        <v>18</v>
      </c>
      <c r="H139" s="40">
        <f t="shared" si="108"/>
        <v>18</v>
      </c>
      <c r="I139" s="40">
        <f t="shared" si="108"/>
        <v>18</v>
      </c>
      <c r="J139" s="40">
        <f t="shared" si="108"/>
        <v>18</v>
      </c>
      <c r="K139" s="40">
        <f t="shared" si="108"/>
        <v>18</v>
      </c>
      <c r="L139" s="40">
        <f t="shared" si="108"/>
        <v>18</v>
      </c>
      <c r="M139" s="40">
        <f t="shared" si="108"/>
        <v>18</v>
      </c>
      <c r="N139" s="40">
        <f t="shared" si="108"/>
        <v>18</v>
      </c>
      <c r="O139" s="40">
        <f t="shared" si="108"/>
        <v>18</v>
      </c>
    </row>
    <row r="140" spans="1:17" s="17" customFormat="1" x14ac:dyDescent="0.25">
      <c r="A140" s="51" t="s">
        <v>162</v>
      </c>
      <c r="B140" s="311" t="s">
        <v>25</v>
      </c>
      <c r="C140" s="39">
        <f t="shared" si="103"/>
        <v>123.83280000000001</v>
      </c>
      <c r="D140" s="50">
        <v>10.3194</v>
      </c>
      <c r="E140" s="40">
        <f t="shared" si="108"/>
        <v>10.3194</v>
      </c>
      <c r="F140" s="40">
        <f t="shared" si="108"/>
        <v>10.3194</v>
      </c>
      <c r="G140" s="40">
        <f t="shared" si="108"/>
        <v>10.3194</v>
      </c>
      <c r="H140" s="40">
        <f t="shared" si="108"/>
        <v>10.3194</v>
      </c>
      <c r="I140" s="40">
        <f t="shared" si="108"/>
        <v>10.3194</v>
      </c>
      <c r="J140" s="40">
        <f t="shared" si="108"/>
        <v>10.3194</v>
      </c>
      <c r="K140" s="40">
        <f t="shared" si="108"/>
        <v>10.3194</v>
      </c>
      <c r="L140" s="40">
        <f t="shared" si="108"/>
        <v>10.3194</v>
      </c>
      <c r="M140" s="40">
        <f t="shared" si="108"/>
        <v>10.3194</v>
      </c>
      <c r="N140" s="40">
        <f t="shared" si="108"/>
        <v>10.3194</v>
      </c>
      <c r="O140" s="40">
        <f t="shared" si="108"/>
        <v>10.3194</v>
      </c>
    </row>
    <row r="141" spans="1:17" s="17" customFormat="1" x14ac:dyDescent="0.25">
      <c r="A141" s="51" t="s">
        <v>156</v>
      </c>
      <c r="B141" s="311" t="s">
        <v>25</v>
      </c>
      <c r="C141" s="39">
        <f t="shared" si="103"/>
        <v>0</v>
      </c>
      <c r="D141" s="50">
        <v>0</v>
      </c>
      <c r="E141" s="40">
        <f t="shared" si="108"/>
        <v>0</v>
      </c>
      <c r="F141" s="40">
        <f t="shared" si="108"/>
        <v>0</v>
      </c>
      <c r="G141" s="40">
        <f t="shared" si="108"/>
        <v>0</v>
      </c>
      <c r="H141" s="40">
        <f t="shared" si="108"/>
        <v>0</v>
      </c>
      <c r="I141" s="40">
        <f t="shared" si="108"/>
        <v>0</v>
      </c>
      <c r="J141" s="40">
        <f t="shared" si="108"/>
        <v>0</v>
      </c>
      <c r="K141" s="40">
        <f t="shared" si="108"/>
        <v>0</v>
      </c>
      <c r="L141" s="40">
        <f t="shared" si="108"/>
        <v>0</v>
      </c>
      <c r="M141" s="40">
        <f t="shared" si="108"/>
        <v>0</v>
      </c>
      <c r="N141" s="40">
        <f t="shared" si="108"/>
        <v>0</v>
      </c>
      <c r="O141" s="40">
        <f t="shared" si="108"/>
        <v>0</v>
      </c>
    </row>
    <row r="142" spans="1:17" s="105" customFormat="1" ht="18.75" x14ac:dyDescent="0.3">
      <c r="A142" s="103" t="s">
        <v>200</v>
      </c>
      <c r="B142" s="312" t="s">
        <v>25</v>
      </c>
      <c r="C142" s="104">
        <f t="shared" si="103"/>
        <v>1722.174</v>
      </c>
      <c r="D142" s="106">
        <f t="shared" ref="D142:O142" si="110">IF(D68=0,0,SUM(D127:D141))</f>
        <v>152.7174</v>
      </c>
      <c r="E142" s="106">
        <f t="shared" si="110"/>
        <v>152.7174</v>
      </c>
      <c r="F142" s="106">
        <f t="shared" si="110"/>
        <v>165.7174</v>
      </c>
      <c r="G142" s="106">
        <f t="shared" si="110"/>
        <v>178.7174</v>
      </c>
      <c r="H142" s="106">
        <f t="shared" si="110"/>
        <v>178.7174</v>
      </c>
      <c r="I142" s="106">
        <f t="shared" si="110"/>
        <v>178.7174</v>
      </c>
      <c r="J142" s="106">
        <f t="shared" si="110"/>
        <v>178.7174</v>
      </c>
      <c r="K142" s="106">
        <f t="shared" si="110"/>
        <v>178.7174</v>
      </c>
      <c r="L142" s="106">
        <f t="shared" si="110"/>
        <v>178.7174</v>
      </c>
      <c r="M142" s="106">
        <f t="shared" si="110"/>
        <v>178.7174</v>
      </c>
      <c r="N142" s="106">
        <f t="shared" si="110"/>
        <v>0</v>
      </c>
      <c r="O142" s="106">
        <f t="shared" si="110"/>
        <v>0</v>
      </c>
      <c r="P142" s="17"/>
      <c r="Q142" s="17"/>
    </row>
    <row r="143" spans="1:17" s="17" customFormat="1" x14ac:dyDescent="0.25">
      <c r="B143" s="287"/>
      <c r="C143" s="40"/>
      <c r="D143" s="40"/>
      <c r="E143" s="40"/>
      <c r="F143" s="40"/>
      <c r="G143" s="40"/>
      <c r="H143" s="40"/>
      <c r="I143" s="40"/>
      <c r="J143" s="40"/>
      <c r="K143" s="40"/>
      <c r="L143" s="40"/>
      <c r="M143" s="40"/>
      <c r="N143" s="40"/>
      <c r="O143" s="40"/>
    </row>
    <row r="144" spans="1:17" s="46" customFormat="1" ht="40.35" customHeight="1" x14ac:dyDescent="0.25">
      <c r="A144" s="87" t="s">
        <v>201</v>
      </c>
      <c r="B144" s="29"/>
      <c r="C144" s="62"/>
      <c r="D144" s="62"/>
      <c r="E144" s="62"/>
      <c r="F144" s="62"/>
      <c r="G144" s="62"/>
      <c r="H144" s="62"/>
      <c r="I144" s="62"/>
      <c r="J144" s="62"/>
      <c r="K144" s="62"/>
      <c r="L144" s="62"/>
      <c r="M144" s="62"/>
      <c r="N144" s="62"/>
      <c r="O144" s="62"/>
      <c r="P144" s="17"/>
      <c r="Q144" s="17"/>
    </row>
    <row r="145" spans="1:15" s="17" customFormat="1" x14ac:dyDescent="0.25">
      <c r="A145" s="43" t="s">
        <v>163</v>
      </c>
      <c r="B145" s="14"/>
      <c r="C145" s="40"/>
      <c r="D145" s="40"/>
      <c r="E145" s="40"/>
      <c r="F145" s="40"/>
      <c r="G145" s="40"/>
      <c r="H145" s="40"/>
      <c r="I145" s="40"/>
      <c r="J145" s="40"/>
      <c r="K145" s="40"/>
      <c r="L145" s="40"/>
      <c r="M145" s="40"/>
      <c r="N145" s="40"/>
      <c r="O145" s="40"/>
    </row>
    <row r="146" spans="1:15" s="17" customFormat="1" x14ac:dyDescent="0.25">
      <c r="A146" s="109" t="s">
        <v>164</v>
      </c>
      <c r="B146" s="14"/>
      <c r="C146" s="40"/>
      <c r="D146" s="40"/>
      <c r="E146" s="40"/>
      <c r="F146" s="40"/>
      <c r="G146" s="40"/>
      <c r="H146" s="40"/>
      <c r="I146" s="40"/>
      <c r="J146" s="40"/>
      <c r="K146" s="40"/>
      <c r="L146" s="40"/>
      <c r="M146" s="40"/>
      <c r="N146" s="40"/>
      <c r="O146" s="40"/>
    </row>
    <row r="147" spans="1:15" s="17" customFormat="1" x14ac:dyDescent="0.25">
      <c r="A147" s="51" t="s">
        <v>165</v>
      </c>
      <c r="B147" s="311" t="s">
        <v>25</v>
      </c>
      <c r="C147" s="39">
        <f t="shared" ref="C147:C162" si="111">SUM(D147:O147)</f>
        <v>624</v>
      </c>
      <c r="D147" s="50">
        <v>52</v>
      </c>
      <c r="E147" s="40">
        <f>D147</f>
        <v>52</v>
      </c>
      <c r="F147" s="40">
        <f t="shared" ref="F147:O147" si="112">E147</f>
        <v>52</v>
      </c>
      <c r="G147" s="40">
        <f t="shared" si="112"/>
        <v>52</v>
      </c>
      <c r="H147" s="40">
        <f t="shared" si="112"/>
        <v>52</v>
      </c>
      <c r="I147" s="40">
        <f t="shared" si="112"/>
        <v>52</v>
      </c>
      <c r="J147" s="40">
        <f t="shared" si="112"/>
        <v>52</v>
      </c>
      <c r="K147" s="40">
        <f t="shared" si="112"/>
        <v>52</v>
      </c>
      <c r="L147" s="40">
        <f t="shared" si="112"/>
        <v>52</v>
      </c>
      <c r="M147" s="40">
        <f t="shared" si="112"/>
        <v>52</v>
      </c>
      <c r="N147" s="40">
        <f t="shared" si="112"/>
        <v>52</v>
      </c>
      <c r="O147" s="40">
        <f t="shared" si="112"/>
        <v>52</v>
      </c>
    </row>
    <row r="148" spans="1:15" s="17" customFormat="1" x14ac:dyDescent="0.25">
      <c r="A148" s="51" t="s">
        <v>166</v>
      </c>
      <c r="B148" s="311" t="s">
        <v>25</v>
      </c>
      <c r="C148" s="39">
        <f t="shared" ref="C148:C151" si="113">SUM(D148:O148)</f>
        <v>120</v>
      </c>
      <c r="D148" s="50">
        <v>10</v>
      </c>
      <c r="E148" s="40">
        <f t="shared" ref="E148:O161" si="114">D148</f>
        <v>10</v>
      </c>
      <c r="F148" s="40">
        <f t="shared" si="114"/>
        <v>10</v>
      </c>
      <c r="G148" s="40">
        <f t="shared" si="114"/>
        <v>10</v>
      </c>
      <c r="H148" s="40">
        <f t="shared" si="114"/>
        <v>10</v>
      </c>
      <c r="I148" s="40">
        <f t="shared" si="114"/>
        <v>10</v>
      </c>
      <c r="J148" s="40">
        <f t="shared" si="114"/>
        <v>10</v>
      </c>
      <c r="K148" s="40">
        <f t="shared" si="114"/>
        <v>10</v>
      </c>
      <c r="L148" s="40">
        <f t="shared" si="114"/>
        <v>10</v>
      </c>
      <c r="M148" s="40">
        <f t="shared" si="114"/>
        <v>10</v>
      </c>
      <c r="N148" s="40">
        <f t="shared" si="114"/>
        <v>10</v>
      </c>
      <c r="O148" s="40">
        <f t="shared" si="114"/>
        <v>10</v>
      </c>
    </row>
    <row r="149" spans="1:15" s="17" customFormat="1" ht="13.5" customHeight="1" x14ac:dyDescent="0.25">
      <c r="A149" s="51" t="s">
        <v>168</v>
      </c>
      <c r="B149" s="311" t="s">
        <v>25</v>
      </c>
      <c r="C149" s="39">
        <f t="shared" si="113"/>
        <v>144</v>
      </c>
      <c r="D149" s="50">
        <v>12</v>
      </c>
      <c r="E149" s="40">
        <f t="shared" si="114"/>
        <v>12</v>
      </c>
      <c r="F149" s="40">
        <f t="shared" si="114"/>
        <v>12</v>
      </c>
      <c r="G149" s="40">
        <f t="shared" si="114"/>
        <v>12</v>
      </c>
      <c r="H149" s="40">
        <f t="shared" si="114"/>
        <v>12</v>
      </c>
      <c r="I149" s="40">
        <f t="shared" si="114"/>
        <v>12</v>
      </c>
      <c r="J149" s="40">
        <f t="shared" si="114"/>
        <v>12</v>
      </c>
      <c r="K149" s="40">
        <f t="shared" si="114"/>
        <v>12</v>
      </c>
      <c r="L149" s="40">
        <f t="shared" si="114"/>
        <v>12</v>
      </c>
      <c r="M149" s="40">
        <f t="shared" si="114"/>
        <v>12</v>
      </c>
      <c r="N149" s="40">
        <f t="shared" si="114"/>
        <v>12</v>
      </c>
      <c r="O149" s="40">
        <f t="shared" si="114"/>
        <v>12</v>
      </c>
    </row>
    <row r="150" spans="1:15" s="17" customFormat="1" x14ac:dyDescent="0.25">
      <c r="A150" s="51" t="s">
        <v>167</v>
      </c>
      <c r="B150" s="311" t="s">
        <v>25</v>
      </c>
      <c r="C150" s="39">
        <f t="shared" ref="C150" si="115">SUM(D150:O150)</f>
        <v>60</v>
      </c>
      <c r="D150" s="50">
        <v>5</v>
      </c>
      <c r="E150" s="40">
        <f t="shared" si="114"/>
        <v>5</v>
      </c>
      <c r="F150" s="40">
        <f t="shared" si="114"/>
        <v>5</v>
      </c>
      <c r="G150" s="40">
        <f t="shared" si="114"/>
        <v>5</v>
      </c>
      <c r="H150" s="40">
        <f t="shared" si="114"/>
        <v>5</v>
      </c>
      <c r="I150" s="40">
        <f t="shared" si="114"/>
        <v>5</v>
      </c>
      <c r="J150" s="40">
        <f t="shared" si="114"/>
        <v>5</v>
      </c>
      <c r="K150" s="40">
        <f t="shared" si="114"/>
        <v>5</v>
      </c>
      <c r="L150" s="40">
        <f t="shared" si="114"/>
        <v>5</v>
      </c>
      <c r="M150" s="40">
        <f t="shared" si="114"/>
        <v>5</v>
      </c>
      <c r="N150" s="40">
        <f t="shared" si="114"/>
        <v>5</v>
      </c>
      <c r="O150" s="40">
        <f t="shared" si="114"/>
        <v>5</v>
      </c>
    </row>
    <row r="151" spans="1:15" s="17" customFormat="1" x14ac:dyDescent="0.25">
      <c r="A151" s="51" t="s">
        <v>175</v>
      </c>
      <c r="B151" s="311" t="s">
        <v>25</v>
      </c>
      <c r="C151" s="39">
        <f t="shared" si="113"/>
        <v>120</v>
      </c>
      <c r="D151" s="50">
        <v>10</v>
      </c>
      <c r="E151" s="40">
        <f t="shared" si="114"/>
        <v>10</v>
      </c>
      <c r="F151" s="40">
        <f t="shared" si="114"/>
        <v>10</v>
      </c>
      <c r="G151" s="40">
        <f t="shared" si="114"/>
        <v>10</v>
      </c>
      <c r="H151" s="40">
        <f t="shared" si="114"/>
        <v>10</v>
      </c>
      <c r="I151" s="40">
        <f t="shared" si="114"/>
        <v>10</v>
      </c>
      <c r="J151" s="40">
        <f t="shared" si="114"/>
        <v>10</v>
      </c>
      <c r="K151" s="40">
        <f t="shared" si="114"/>
        <v>10</v>
      </c>
      <c r="L151" s="40">
        <f t="shared" si="114"/>
        <v>10</v>
      </c>
      <c r="M151" s="40">
        <f t="shared" si="114"/>
        <v>10</v>
      </c>
      <c r="N151" s="40">
        <f t="shared" si="114"/>
        <v>10</v>
      </c>
      <c r="O151" s="40">
        <f t="shared" si="114"/>
        <v>10</v>
      </c>
    </row>
    <row r="152" spans="1:15" s="17" customFormat="1" x14ac:dyDescent="0.25">
      <c r="A152" s="109" t="s">
        <v>170</v>
      </c>
      <c r="B152" s="14"/>
      <c r="C152" s="39"/>
      <c r="D152" s="39"/>
      <c r="E152" s="40"/>
      <c r="F152" s="40"/>
      <c r="G152" s="40"/>
      <c r="H152" s="40"/>
      <c r="I152" s="40"/>
      <c r="J152" s="40"/>
      <c r="K152" s="40"/>
      <c r="L152" s="40"/>
      <c r="M152" s="40"/>
      <c r="N152" s="40"/>
      <c r="O152" s="40"/>
    </row>
    <row r="153" spans="1:15" s="17" customFormat="1" x14ac:dyDescent="0.25">
      <c r="A153" s="51" t="s">
        <v>169</v>
      </c>
      <c r="B153" s="311" t="s">
        <v>25</v>
      </c>
      <c r="C153" s="39">
        <f t="shared" ref="C153:C154" si="116">SUM(D153:O153)</f>
        <v>180</v>
      </c>
      <c r="D153" s="50">
        <v>15</v>
      </c>
      <c r="E153" s="40">
        <f t="shared" si="114"/>
        <v>15</v>
      </c>
      <c r="F153" s="40">
        <f t="shared" si="114"/>
        <v>15</v>
      </c>
      <c r="G153" s="40">
        <f t="shared" si="114"/>
        <v>15</v>
      </c>
      <c r="H153" s="40">
        <f t="shared" si="114"/>
        <v>15</v>
      </c>
      <c r="I153" s="40">
        <f t="shared" si="114"/>
        <v>15</v>
      </c>
      <c r="J153" s="40">
        <f t="shared" si="114"/>
        <v>15</v>
      </c>
      <c r="K153" s="40">
        <f t="shared" si="114"/>
        <v>15</v>
      </c>
      <c r="L153" s="40">
        <f t="shared" si="114"/>
        <v>15</v>
      </c>
      <c r="M153" s="40">
        <f t="shared" si="114"/>
        <v>15</v>
      </c>
      <c r="N153" s="40">
        <f t="shared" si="114"/>
        <v>15</v>
      </c>
      <c r="O153" s="40">
        <f t="shared" si="114"/>
        <v>15</v>
      </c>
    </row>
    <row r="154" spans="1:15" s="17" customFormat="1" x14ac:dyDescent="0.25">
      <c r="A154" s="51" t="s">
        <v>171</v>
      </c>
      <c r="B154" s="311" t="s">
        <v>25</v>
      </c>
      <c r="C154" s="39">
        <f t="shared" si="116"/>
        <v>108</v>
      </c>
      <c r="D154" s="50">
        <v>9</v>
      </c>
      <c r="E154" s="40">
        <f t="shared" si="114"/>
        <v>9</v>
      </c>
      <c r="F154" s="40">
        <f t="shared" si="114"/>
        <v>9</v>
      </c>
      <c r="G154" s="40">
        <f t="shared" si="114"/>
        <v>9</v>
      </c>
      <c r="H154" s="40">
        <f t="shared" si="114"/>
        <v>9</v>
      </c>
      <c r="I154" s="40">
        <f t="shared" si="114"/>
        <v>9</v>
      </c>
      <c r="J154" s="40">
        <f t="shared" si="114"/>
        <v>9</v>
      </c>
      <c r="K154" s="40">
        <f t="shared" si="114"/>
        <v>9</v>
      </c>
      <c r="L154" s="40">
        <f t="shared" si="114"/>
        <v>9</v>
      </c>
      <c r="M154" s="40">
        <f t="shared" si="114"/>
        <v>9</v>
      </c>
      <c r="N154" s="40">
        <f t="shared" si="114"/>
        <v>9</v>
      </c>
      <c r="O154" s="40">
        <f t="shared" si="114"/>
        <v>9</v>
      </c>
    </row>
    <row r="155" spans="1:15" s="17" customFormat="1" x14ac:dyDescent="0.25">
      <c r="A155" s="109" t="s">
        <v>174</v>
      </c>
      <c r="B155" s="14"/>
      <c r="C155" s="39"/>
      <c r="D155" s="39"/>
      <c r="E155" s="40"/>
      <c r="F155" s="40"/>
      <c r="G155" s="40"/>
      <c r="H155" s="40"/>
      <c r="I155" s="40"/>
      <c r="J155" s="40"/>
      <c r="K155" s="40"/>
      <c r="L155" s="40"/>
      <c r="M155" s="40"/>
      <c r="N155" s="40"/>
      <c r="O155" s="40"/>
    </row>
    <row r="156" spans="1:15" s="17" customFormat="1" x14ac:dyDescent="0.25">
      <c r="A156" s="51" t="s">
        <v>172</v>
      </c>
      <c r="B156" s="311" t="s">
        <v>25</v>
      </c>
      <c r="C156" s="39">
        <f t="shared" ref="C156:C157" si="117">SUM(D156:O156)</f>
        <v>240</v>
      </c>
      <c r="D156" s="50">
        <v>20</v>
      </c>
      <c r="E156" s="40">
        <f t="shared" ref="E156:O156" si="118">D156</f>
        <v>20</v>
      </c>
      <c r="F156" s="40">
        <f t="shared" si="118"/>
        <v>20</v>
      </c>
      <c r="G156" s="40">
        <f t="shared" si="118"/>
        <v>20</v>
      </c>
      <c r="H156" s="40">
        <f t="shared" si="118"/>
        <v>20</v>
      </c>
      <c r="I156" s="40">
        <f t="shared" si="118"/>
        <v>20</v>
      </c>
      <c r="J156" s="40">
        <f t="shared" si="118"/>
        <v>20</v>
      </c>
      <c r="K156" s="40">
        <f t="shared" si="118"/>
        <v>20</v>
      </c>
      <c r="L156" s="40">
        <f t="shared" si="118"/>
        <v>20</v>
      </c>
      <c r="M156" s="40">
        <f t="shared" si="118"/>
        <v>20</v>
      </c>
      <c r="N156" s="40">
        <f t="shared" si="118"/>
        <v>20</v>
      </c>
      <c r="O156" s="40">
        <f t="shared" si="118"/>
        <v>20</v>
      </c>
    </row>
    <row r="157" spans="1:15" s="17" customFormat="1" x14ac:dyDescent="0.25">
      <c r="A157" s="51" t="s">
        <v>173</v>
      </c>
      <c r="B157" s="311" t="s">
        <v>25</v>
      </c>
      <c r="C157" s="39">
        <f t="shared" si="117"/>
        <v>72</v>
      </c>
      <c r="D157" s="50">
        <v>6</v>
      </c>
      <c r="E157" s="40">
        <f t="shared" ref="E157:O157" si="119">D157</f>
        <v>6</v>
      </c>
      <c r="F157" s="40">
        <f t="shared" si="119"/>
        <v>6</v>
      </c>
      <c r="G157" s="40">
        <f t="shared" si="119"/>
        <v>6</v>
      </c>
      <c r="H157" s="40">
        <f t="shared" si="119"/>
        <v>6</v>
      </c>
      <c r="I157" s="40">
        <f t="shared" si="119"/>
        <v>6</v>
      </c>
      <c r="J157" s="40">
        <f t="shared" si="119"/>
        <v>6</v>
      </c>
      <c r="K157" s="40">
        <f t="shared" si="119"/>
        <v>6</v>
      </c>
      <c r="L157" s="40">
        <f t="shared" si="119"/>
        <v>6</v>
      </c>
      <c r="M157" s="40">
        <f t="shared" si="119"/>
        <v>6</v>
      </c>
      <c r="N157" s="40">
        <f t="shared" si="119"/>
        <v>6</v>
      </c>
      <c r="O157" s="40">
        <f t="shared" si="119"/>
        <v>6</v>
      </c>
    </row>
    <row r="158" spans="1:15" s="17" customFormat="1" x14ac:dyDescent="0.25">
      <c r="A158" s="109" t="s">
        <v>51</v>
      </c>
      <c r="B158" s="14"/>
      <c r="C158" s="4"/>
      <c r="D158" s="4"/>
      <c r="E158" s="40"/>
      <c r="F158" s="40"/>
      <c r="G158" s="40"/>
      <c r="H158" s="40"/>
      <c r="I158" s="40"/>
      <c r="J158" s="40"/>
      <c r="K158" s="40"/>
      <c r="L158" s="40"/>
      <c r="M158" s="40"/>
      <c r="N158" s="40"/>
      <c r="O158" s="40"/>
    </row>
    <row r="159" spans="1:15" s="17" customFormat="1" x14ac:dyDescent="0.25">
      <c r="A159" s="51" t="s">
        <v>52</v>
      </c>
      <c r="B159" s="311" t="s">
        <v>25</v>
      </c>
      <c r="C159" s="39">
        <f t="shared" ref="C159:C161" si="120">SUM(D159:O159)</f>
        <v>2.4</v>
      </c>
      <c r="D159" s="50">
        <v>0.19999999999999998</v>
      </c>
      <c r="E159" s="40">
        <f t="shared" si="114"/>
        <v>0.19999999999999998</v>
      </c>
      <c r="F159" s="40">
        <f t="shared" si="114"/>
        <v>0.19999999999999998</v>
      </c>
      <c r="G159" s="40">
        <f t="shared" si="114"/>
        <v>0.19999999999999998</v>
      </c>
      <c r="H159" s="40">
        <f t="shared" si="114"/>
        <v>0.19999999999999998</v>
      </c>
      <c r="I159" s="40">
        <f t="shared" si="114"/>
        <v>0.19999999999999998</v>
      </c>
      <c r="J159" s="40">
        <f t="shared" si="114"/>
        <v>0.19999999999999998</v>
      </c>
      <c r="K159" s="40">
        <f t="shared" si="114"/>
        <v>0.19999999999999998</v>
      </c>
      <c r="L159" s="40">
        <f t="shared" si="114"/>
        <v>0.19999999999999998</v>
      </c>
      <c r="M159" s="40">
        <f t="shared" si="114"/>
        <v>0.19999999999999998</v>
      </c>
      <c r="N159" s="40">
        <f t="shared" si="114"/>
        <v>0.19999999999999998</v>
      </c>
      <c r="O159" s="40">
        <f t="shared" si="114"/>
        <v>0.19999999999999998</v>
      </c>
    </row>
    <row r="160" spans="1:15" s="17" customFormat="1" x14ac:dyDescent="0.25">
      <c r="A160" s="51" t="s">
        <v>53</v>
      </c>
      <c r="B160" s="311" t="s">
        <v>25</v>
      </c>
      <c r="C160" s="39">
        <f t="shared" si="120"/>
        <v>0</v>
      </c>
      <c r="D160" s="50">
        <v>0</v>
      </c>
      <c r="E160" s="40">
        <f t="shared" si="114"/>
        <v>0</v>
      </c>
      <c r="F160" s="40">
        <f t="shared" si="114"/>
        <v>0</v>
      </c>
      <c r="G160" s="40">
        <f t="shared" si="114"/>
        <v>0</v>
      </c>
      <c r="H160" s="40">
        <f t="shared" si="114"/>
        <v>0</v>
      </c>
      <c r="I160" s="40">
        <f t="shared" si="114"/>
        <v>0</v>
      </c>
      <c r="J160" s="40">
        <f t="shared" si="114"/>
        <v>0</v>
      </c>
      <c r="K160" s="40">
        <f t="shared" si="114"/>
        <v>0</v>
      </c>
      <c r="L160" s="40">
        <f t="shared" si="114"/>
        <v>0</v>
      </c>
      <c r="M160" s="40">
        <f t="shared" si="114"/>
        <v>0</v>
      </c>
      <c r="N160" s="40">
        <f t="shared" si="114"/>
        <v>0</v>
      </c>
      <c r="O160" s="40">
        <f t="shared" si="114"/>
        <v>0</v>
      </c>
    </row>
    <row r="161" spans="1:15" s="17" customFormat="1" x14ac:dyDescent="0.25">
      <c r="A161" s="51" t="s">
        <v>54</v>
      </c>
      <c r="B161" s="311" t="s">
        <v>25</v>
      </c>
      <c r="C161" s="39">
        <f t="shared" si="120"/>
        <v>0</v>
      </c>
      <c r="D161" s="50">
        <v>0</v>
      </c>
      <c r="E161" s="40">
        <f t="shared" si="114"/>
        <v>0</v>
      </c>
      <c r="F161" s="40">
        <f t="shared" si="114"/>
        <v>0</v>
      </c>
      <c r="G161" s="40">
        <f t="shared" si="114"/>
        <v>0</v>
      </c>
      <c r="H161" s="40">
        <f t="shared" si="114"/>
        <v>0</v>
      </c>
      <c r="I161" s="40">
        <f t="shared" si="114"/>
        <v>0</v>
      </c>
      <c r="J161" s="40">
        <f t="shared" si="114"/>
        <v>0</v>
      </c>
      <c r="K161" s="40">
        <f t="shared" si="114"/>
        <v>0</v>
      </c>
      <c r="L161" s="40">
        <f t="shared" si="114"/>
        <v>0</v>
      </c>
      <c r="M161" s="40">
        <f t="shared" si="114"/>
        <v>0</v>
      </c>
      <c r="N161" s="40">
        <f t="shared" si="114"/>
        <v>0</v>
      </c>
      <c r="O161" s="40">
        <f t="shared" si="114"/>
        <v>0</v>
      </c>
    </row>
    <row r="162" spans="1:15" s="105" customFormat="1" ht="18.75" x14ac:dyDescent="0.3">
      <c r="A162" s="103" t="str">
        <f>A144</f>
        <v>3c ii. Fixed Costs - general (non-people)</v>
      </c>
      <c r="B162" s="312" t="s">
        <v>25</v>
      </c>
      <c r="C162" s="104">
        <f t="shared" si="111"/>
        <v>1392.0000000000002</v>
      </c>
      <c r="D162" s="106">
        <f t="shared" ref="D162:O162" si="121">IF(D68=0,0,SUM(D147:D161))</f>
        <v>139.19999999999999</v>
      </c>
      <c r="E162" s="106">
        <f t="shared" si="121"/>
        <v>139.19999999999999</v>
      </c>
      <c r="F162" s="106">
        <f t="shared" si="121"/>
        <v>139.19999999999999</v>
      </c>
      <c r="G162" s="106">
        <f t="shared" si="121"/>
        <v>139.19999999999999</v>
      </c>
      <c r="H162" s="106">
        <f t="shared" si="121"/>
        <v>139.19999999999999</v>
      </c>
      <c r="I162" s="106">
        <f t="shared" si="121"/>
        <v>139.19999999999999</v>
      </c>
      <c r="J162" s="106">
        <f t="shared" si="121"/>
        <v>139.19999999999999</v>
      </c>
      <c r="K162" s="106">
        <f t="shared" si="121"/>
        <v>139.19999999999999</v>
      </c>
      <c r="L162" s="106">
        <f t="shared" si="121"/>
        <v>139.19999999999999</v>
      </c>
      <c r="M162" s="106">
        <f t="shared" si="121"/>
        <v>139.19999999999999</v>
      </c>
      <c r="N162" s="106">
        <f t="shared" si="121"/>
        <v>0</v>
      </c>
      <c r="O162" s="106">
        <f t="shared" si="121"/>
        <v>0</v>
      </c>
    </row>
    <row r="163" spans="1:15" s="17" customFormat="1" x14ac:dyDescent="0.25">
      <c r="B163" s="287"/>
      <c r="C163" s="40"/>
      <c r="D163" s="40"/>
      <c r="E163" s="40"/>
      <c r="F163" s="40"/>
      <c r="G163" s="40"/>
      <c r="H163" s="40"/>
      <c r="I163" s="40"/>
      <c r="J163" s="40"/>
      <c r="K163" s="40"/>
      <c r="L163" s="40"/>
      <c r="M163" s="40"/>
      <c r="N163" s="40"/>
      <c r="O163" s="40"/>
    </row>
    <row r="164" spans="1:15" s="291" customFormat="1" ht="21.75" customHeight="1" x14ac:dyDescent="0.35">
      <c r="A164" s="67" t="str">
        <f>A124</f>
        <v xml:space="preserve">3c.  Fixed Costs </v>
      </c>
      <c r="B164" s="312" t="s">
        <v>25</v>
      </c>
      <c r="C164" s="104">
        <f>SUM(D164:O164)</f>
        <v>3114.1739999999995</v>
      </c>
      <c r="D164" s="106">
        <f>D142+D162</f>
        <v>291.91739999999999</v>
      </c>
      <c r="E164" s="106">
        <f t="shared" ref="E164:O164" si="122">E142+E162</f>
        <v>291.91739999999999</v>
      </c>
      <c r="F164" s="106">
        <f t="shared" si="122"/>
        <v>304.91739999999999</v>
      </c>
      <c r="G164" s="106">
        <f t="shared" si="122"/>
        <v>317.91739999999999</v>
      </c>
      <c r="H164" s="106">
        <f t="shared" si="122"/>
        <v>317.91739999999999</v>
      </c>
      <c r="I164" s="106">
        <f t="shared" si="122"/>
        <v>317.91739999999999</v>
      </c>
      <c r="J164" s="106">
        <f t="shared" si="122"/>
        <v>317.91739999999999</v>
      </c>
      <c r="K164" s="106">
        <f t="shared" si="122"/>
        <v>317.91739999999999</v>
      </c>
      <c r="L164" s="106">
        <f t="shared" si="122"/>
        <v>317.91739999999999</v>
      </c>
      <c r="M164" s="106">
        <f t="shared" si="122"/>
        <v>317.91739999999999</v>
      </c>
      <c r="N164" s="106">
        <f t="shared" si="122"/>
        <v>0</v>
      </c>
      <c r="O164" s="106">
        <f t="shared" si="122"/>
        <v>0</v>
      </c>
    </row>
    <row r="165" spans="1:15" s="225" customFormat="1" ht="21.75" customHeight="1" x14ac:dyDescent="0.35">
      <c r="A165" s="226"/>
      <c r="B165" s="312"/>
      <c r="C165" s="227"/>
      <c r="D165" s="228"/>
      <c r="E165" s="228"/>
      <c r="F165" s="228"/>
      <c r="G165" s="228"/>
      <c r="H165" s="228"/>
      <c r="I165" s="228"/>
      <c r="J165" s="228"/>
      <c r="K165" s="228"/>
      <c r="L165" s="228"/>
      <c r="M165" s="228"/>
      <c r="N165" s="228"/>
      <c r="O165" s="228"/>
    </row>
    <row r="166" spans="1:15" s="46" customFormat="1" ht="21" x14ac:dyDescent="0.25">
      <c r="A166" s="87" t="s">
        <v>264</v>
      </c>
      <c r="B166" s="29"/>
      <c r="C166" s="62"/>
      <c r="D166" s="62"/>
      <c r="E166" s="62"/>
      <c r="F166" s="62"/>
      <c r="G166" s="62"/>
      <c r="H166" s="62"/>
      <c r="I166" s="62"/>
      <c r="J166" s="62"/>
      <c r="K166" s="62"/>
      <c r="L166" s="62"/>
      <c r="M166" s="62"/>
      <c r="N166" s="62"/>
      <c r="O166" s="62"/>
    </row>
    <row r="167" spans="1:15" s="17" customFormat="1" x14ac:dyDescent="0.25">
      <c r="A167" s="17" t="str">
        <f>A108</f>
        <v>3a i.  Cost of purchasing ABC units ex-factory</v>
      </c>
      <c r="B167" s="287" t="str">
        <f>B108</f>
        <v>US$ 000 Real</v>
      </c>
      <c r="C167" s="39">
        <f t="shared" ref="C167:C170" si="123">SUM(D167:O167)</f>
        <v>15590.092959201191</v>
      </c>
      <c r="D167" s="40">
        <f t="shared" ref="D167:O167" si="124">D108</f>
        <v>1049.7260273972602</v>
      </c>
      <c r="E167" s="40">
        <f t="shared" si="124"/>
        <v>1012.1117808219178</v>
      </c>
      <c r="F167" s="40">
        <f t="shared" si="124"/>
        <v>1094.1350421917809</v>
      </c>
      <c r="G167" s="40">
        <f t="shared" si="124"/>
        <v>1271.2387671967124</v>
      </c>
      <c r="H167" s="40">
        <f t="shared" si="124"/>
        <v>1521.2818835894557</v>
      </c>
      <c r="I167" s="40">
        <f t="shared" si="124"/>
        <v>1823.4391790972199</v>
      </c>
      <c r="J167" s="40">
        <f t="shared" si="124"/>
        <v>1976.8874870560949</v>
      </c>
      <c r="K167" s="40">
        <f t="shared" si="124"/>
        <v>1983.6266147866311</v>
      </c>
      <c r="L167" s="40">
        <f t="shared" si="124"/>
        <v>2002.2727049656251</v>
      </c>
      <c r="M167" s="40">
        <f t="shared" si="124"/>
        <v>1855.3734720984926</v>
      </c>
      <c r="N167" s="40">
        <f t="shared" si="124"/>
        <v>0</v>
      </c>
      <c r="O167" s="40">
        <f t="shared" si="124"/>
        <v>0</v>
      </c>
    </row>
    <row r="168" spans="1:15" s="17" customFormat="1" x14ac:dyDescent="0.25">
      <c r="A168" s="17" t="str">
        <f>A114</f>
        <v>Debtors at end of year - in-country sales</v>
      </c>
      <c r="B168" s="287" t="str">
        <f>B114</f>
        <v>US$ 000 Real</v>
      </c>
      <c r="C168" s="39">
        <f t="shared" si="123"/>
        <v>3310.0436414999367</v>
      </c>
      <c r="D168" s="40">
        <f t="shared" ref="D168:O168" si="125">D114</f>
        <v>194.79452054794521</v>
      </c>
      <c r="E168" s="40">
        <f t="shared" si="125"/>
        <v>190.95719178082192</v>
      </c>
      <c r="F168" s="40">
        <f t="shared" si="125"/>
        <v>210.70017123287678</v>
      </c>
      <c r="G168" s="40">
        <f t="shared" si="125"/>
        <v>251.45660958904116</v>
      </c>
      <c r="H168" s="40">
        <f t="shared" si="125"/>
        <v>312.23006506849327</v>
      </c>
      <c r="I168" s="40">
        <f t="shared" si="125"/>
        <v>387.88101678082199</v>
      </c>
      <c r="J168" s="40">
        <f t="shared" si="125"/>
        <v>432.52684166095895</v>
      </c>
      <c r="K168" s="40">
        <f t="shared" si="125"/>
        <v>442.58875549982889</v>
      </c>
      <c r="L168" s="40">
        <f t="shared" si="125"/>
        <v>455.86641816482364</v>
      </c>
      <c r="M168" s="40">
        <f t="shared" si="125"/>
        <v>431.04205117432508</v>
      </c>
      <c r="N168" s="40">
        <f t="shared" si="125"/>
        <v>0</v>
      </c>
      <c r="O168" s="40">
        <f t="shared" si="125"/>
        <v>0</v>
      </c>
    </row>
    <row r="169" spans="1:15" s="17" customFormat="1" x14ac:dyDescent="0.25">
      <c r="A169" s="17" t="str">
        <f>A120</f>
        <v>3b iii. Freight &amp; Handling of ABC units to customers from ABC Depot</v>
      </c>
      <c r="B169" s="287" t="str">
        <f>B120</f>
        <v>US$ 000 Real</v>
      </c>
      <c r="C169" s="39">
        <f t="shared" si="123"/>
        <v>3420.3784295499345</v>
      </c>
      <c r="D169" s="40">
        <f t="shared" ref="D169:O169" si="126">D120</f>
        <v>186</v>
      </c>
      <c r="E169" s="40">
        <f t="shared" si="126"/>
        <v>196.46250000000003</v>
      </c>
      <c r="F169" s="40">
        <f t="shared" si="126"/>
        <v>216.10875000000004</v>
      </c>
      <c r="G169" s="40">
        <f t="shared" si="126"/>
        <v>256.51725000000005</v>
      </c>
      <c r="H169" s="40">
        <f t="shared" si="126"/>
        <v>317.61592500000012</v>
      </c>
      <c r="I169" s="40">
        <f t="shared" si="126"/>
        <v>394.49181750000008</v>
      </c>
      <c r="J169" s="40">
        <f t="shared" si="126"/>
        <v>442.96066237500008</v>
      </c>
      <c r="K169" s="40">
        <f t="shared" si="126"/>
        <v>456.24948224625007</v>
      </c>
      <c r="L169" s="40">
        <f t="shared" si="126"/>
        <v>469.93696671363762</v>
      </c>
      <c r="M169" s="40">
        <f t="shared" si="126"/>
        <v>484.03507571504673</v>
      </c>
      <c r="N169" s="40">
        <f t="shared" si="126"/>
        <v>0</v>
      </c>
      <c r="O169" s="40">
        <f t="shared" si="126"/>
        <v>0</v>
      </c>
    </row>
    <row r="170" spans="1:15" s="17" customFormat="1" x14ac:dyDescent="0.25">
      <c r="A170" s="17" t="str">
        <f>A142</f>
        <v>3c i. Fixed Costs - People</v>
      </c>
      <c r="B170" s="287" t="str">
        <f>B142</f>
        <v>US$ 000 Real</v>
      </c>
      <c r="C170" s="39">
        <f t="shared" si="123"/>
        <v>1722.174</v>
      </c>
      <c r="D170" s="40">
        <f t="shared" ref="D170:O170" si="127">D142</f>
        <v>152.7174</v>
      </c>
      <c r="E170" s="40">
        <f t="shared" si="127"/>
        <v>152.7174</v>
      </c>
      <c r="F170" s="40">
        <f t="shared" si="127"/>
        <v>165.7174</v>
      </c>
      <c r="G170" s="40">
        <f t="shared" si="127"/>
        <v>178.7174</v>
      </c>
      <c r="H170" s="40">
        <f t="shared" si="127"/>
        <v>178.7174</v>
      </c>
      <c r="I170" s="40">
        <f t="shared" si="127"/>
        <v>178.7174</v>
      </c>
      <c r="J170" s="40">
        <f t="shared" si="127"/>
        <v>178.7174</v>
      </c>
      <c r="K170" s="40">
        <f t="shared" si="127"/>
        <v>178.7174</v>
      </c>
      <c r="L170" s="40">
        <f t="shared" si="127"/>
        <v>178.7174</v>
      </c>
      <c r="M170" s="40">
        <f t="shared" si="127"/>
        <v>178.7174</v>
      </c>
      <c r="N170" s="40">
        <f t="shared" si="127"/>
        <v>0</v>
      </c>
      <c r="O170" s="40">
        <f t="shared" si="127"/>
        <v>0</v>
      </c>
    </row>
    <row r="171" spans="1:15" s="17" customFormat="1" x14ac:dyDescent="0.25">
      <c r="A171" s="17" t="str">
        <f>A162</f>
        <v>3c ii. Fixed Costs - general (non-people)</v>
      </c>
      <c r="B171" s="287" t="str">
        <f>B162</f>
        <v>US$ 000 Real</v>
      </c>
      <c r="C171" s="39">
        <f t="shared" ref="C171" si="128">SUM(D171:O171)</f>
        <v>1392.0000000000002</v>
      </c>
      <c r="D171" s="40">
        <f t="shared" ref="D171:O171" si="129">D162</f>
        <v>139.19999999999999</v>
      </c>
      <c r="E171" s="40">
        <f t="shared" si="129"/>
        <v>139.19999999999999</v>
      </c>
      <c r="F171" s="40">
        <f t="shared" si="129"/>
        <v>139.19999999999999</v>
      </c>
      <c r="G171" s="40">
        <f t="shared" si="129"/>
        <v>139.19999999999999</v>
      </c>
      <c r="H171" s="40">
        <f t="shared" si="129"/>
        <v>139.19999999999999</v>
      </c>
      <c r="I171" s="40">
        <f t="shared" si="129"/>
        <v>139.19999999999999</v>
      </c>
      <c r="J171" s="40">
        <f t="shared" si="129"/>
        <v>139.19999999999999</v>
      </c>
      <c r="K171" s="40">
        <f t="shared" si="129"/>
        <v>139.19999999999999</v>
      </c>
      <c r="L171" s="40">
        <f t="shared" si="129"/>
        <v>139.19999999999999</v>
      </c>
      <c r="M171" s="40">
        <f t="shared" si="129"/>
        <v>139.19999999999999</v>
      </c>
      <c r="N171" s="40">
        <f t="shared" si="129"/>
        <v>0</v>
      </c>
      <c r="O171" s="40">
        <f t="shared" si="129"/>
        <v>0</v>
      </c>
    </row>
    <row r="172" spans="1:15" s="149" customFormat="1" ht="31.7" customHeight="1" x14ac:dyDescent="0.25">
      <c r="A172" s="288" t="str">
        <f>A166</f>
        <v>3c.  Total Operating 'Expenses'</v>
      </c>
      <c r="B172" s="314" t="s">
        <v>25</v>
      </c>
      <c r="C172" s="289">
        <f>SUM(D172:O172)</f>
        <v>25434.689030251066</v>
      </c>
      <c r="D172" s="290">
        <f t="shared" ref="D172:O172" si="130">SUM(D167:D171)</f>
        <v>1722.4379479452055</v>
      </c>
      <c r="E172" s="290">
        <f t="shared" si="130"/>
        <v>1691.4488726027398</v>
      </c>
      <c r="F172" s="290">
        <f t="shared" si="130"/>
        <v>1825.8613634246578</v>
      </c>
      <c r="G172" s="290">
        <f t="shared" si="130"/>
        <v>2097.1300267857537</v>
      </c>
      <c r="H172" s="290">
        <f t="shared" si="130"/>
        <v>2469.0452736579491</v>
      </c>
      <c r="I172" s="290">
        <f t="shared" si="130"/>
        <v>2923.729413378042</v>
      </c>
      <c r="J172" s="290">
        <f t="shared" si="130"/>
        <v>3170.2923910920535</v>
      </c>
      <c r="K172" s="290">
        <f t="shared" si="130"/>
        <v>3200.3822525327096</v>
      </c>
      <c r="L172" s="290">
        <f t="shared" si="130"/>
        <v>3245.9934898440861</v>
      </c>
      <c r="M172" s="290">
        <f t="shared" si="130"/>
        <v>3088.3679989878642</v>
      </c>
      <c r="N172" s="290">
        <f t="shared" si="130"/>
        <v>0</v>
      </c>
      <c r="O172" s="290">
        <f t="shared" si="130"/>
        <v>0</v>
      </c>
    </row>
    <row r="173" spans="1:15" s="90" customFormat="1" ht="39" customHeight="1" x14ac:dyDescent="0.25">
      <c r="A173" s="75"/>
      <c r="B173" s="314"/>
      <c r="C173" s="76"/>
      <c r="D173" s="97"/>
      <c r="E173" s="97"/>
      <c r="F173" s="97"/>
      <c r="G173" s="97"/>
      <c r="H173" s="97"/>
      <c r="I173" s="97"/>
      <c r="J173" s="97"/>
      <c r="K173" s="97"/>
      <c r="L173" s="97"/>
      <c r="M173" s="97"/>
      <c r="N173" s="97"/>
      <c r="O173" s="97"/>
    </row>
    <row r="174" spans="1:15" s="223" customFormat="1" ht="45" customHeight="1" x14ac:dyDescent="0.25">
      <c r="A174" s="28" t="s">
        <v>258</v>
      </c>
      <c r="B174" s="29"/>
      <c r="C174" s="243"/>
      <c r="D174" s="244"/>
      <c r="E174" s="244"/>
      <c r="F174" s="244"/>
      <c r="G174" s="244"/>
      <c r="H174" s="244"/>
      <c r="I174" s="244"/>
      <c r="J174" s="244"/>
      <c r="K174" s="244"/>
      <c r="L174" s="244"/>
      <c r="M174" s="244"/>
      <c r="N174" s="244"/>
      <c r="O174" s="244"/>
    </row>
    <row r="175" spans="1:15" s="218" customFormat="1" x14ac:dyDescent="0.25">
      <c r="A175" s="43" t="s">
        <v>260</v>
      </c>
      <c r="B175" s="14"/>
      <c r="C175" s="206"/>
      <c r="D175" s="206"/>
      <c r="E175" s="206"/>
      <c r="F175" s="206"/>
      <c r="G175" s="206"/>
      <c r="H175" s="206"/>
      <c r="I175" s="206"/>
      <c r="J175" s="206"/>
      <c r="K175" s="206"/>
      <c r="L175" s="206"/>
      <c r="M175" s="206"/>
      <c r="N175" s="206"/>
      <c r="O175" s="206"/>
    </row>
    <row r="176" spans="1:15" s="197" customFormat="1" x14ac:dyDescent="0.25">
      <c r="A176" s="298" t="s">
        <v>257</v>
      </c>
      <c r="B176" s="299" t="s">
        <v>25</v>
      </c>
      <c r="C176" s="300"/>
      <c r="D176" s="301">
        <v>150</v>
      </c>
      <c r="E176" s="302">
        <f>D176</f>
        <v>150</v>
      </c>
      <c r="F176" s="302">
        <f>E176</f>
        <v>150</v>
      </c>
      <c r="G176" s="302">
        <f t="shared" ref="G176:O176" si="131">F176</f>
        <v>150</v>
      </c>
      <c r="H176" s="302">
        <f t="shared" si="131"/>
        <v>150</v>
      </c>
      <c r="I176" s="302">
        <f t="shared" si="131"/>
        <v>150</v>
      </c>
      <c r="J176" s="302">
        <f t="shared" si="131"/>
        <v>150</v>
      </c>
      <c r="K176" s="302">
        <f t="shared" si="131"/>
        <v>150</v>
      </c>
      <c r="L176" s="302">
        <f t="shared" si="131"/>
        <v>150</v>
      </c>
      <c r="M176" s="302">
        <f t="shared" si="131"/>
        <v>150</v>
      </c>
      <c r="N176" s="302">
        <f t="shared" si="131"/>
        <v>150</v>
      </c>
      <c r="O176" s="302">
        <f t="shared" si="131"/>
        <v>150</v>
      </c>
    </row>
    <row r="177" spans="1:15" s="303" customFormat="1" ht="23.25" x14ac:dyDescent="0.25">
      <c r="A177" s="303" t="s">
        <v>262</v>
      </c>
      <c r="B177" s="281" t="s">
        <v>25</v>
      </c>
      <c r="C177" s="304"/>
      <c r="D177" s="305">
        <f t="shared" ref="D177:O177" si="132">IF(E68=0,0,D176)</f>
        <v>150</v>
      </c>
      <c r="E177" s="305">
        <f t="shared" si="132"/>
        <v>150</v>
      </c>
      <c r="F177" s="305">
        <f t="shared" si="132"/>
        <v>150</v>
      </c>
      <c r="G177" s="305">
        <f t="shared" si="132"/>
        <v>150</v>
      </c>
      <c r="H177" s="305">
        <f t="shared" si="132"/>
        <v>150</v>
      </c>
      <c r="I177" s="305">
        <f t="shared" si="132"/>
        <v>150</v>
      </c>
      <c r="J177" s="305">
        <f t="shared" si="132"/>
        <v>150</v>
      </c>
      <c r="K177" s="305">
        <f t="shared" si="132"/>
        <v>150</v>
      </c>
      <c r="L177" s="305">
        <f t="shared" si="132"/>
        <v>150</v>
      </c>
      <c r="M177" s="305">
        <f t="shared" si="132"/>
        <v>0</v>
      </c>
      <c r="N177" s="305">
        <f t="shared" si="132"/>
        <v>0</v>
      </c>
      <c r="O177" s="305">
        <f t="shared" si="132"/>
        <v>0</v>
      </c>
    </row>
    <row r="178" spans="1:15" s="318" customFormat="1" ht="21" x14ac:dyDescent="0.25">
      <c r="A178" s="316" t="s">
        <v>261</v>
      </c>
      <c r="B178" s="286" t="s">
        <v>25</v>
      </c>
      <c r="C178" s="183">
        <f>SUM(D178:O178)</f>
        <v>0</v>
      </c>
      <c r="D178" s="317">
        <f>D177</f>
        <v>150</v>
      </c>
      <c r="E178" s="317">
        <f>E177-D177</f>
        <v>0</v>
      </c>
      <c r="F178" s="317">
        <f t="shared" ref="F178:O178" si="133">F177-E177</f>
        <v>0</v>
      </c>
      <c r="G178" s="317">
        <f t="shared" si="133"/>
        <v>0</v>
      </c>
      <c r="H178" s="317">
        <f t="shared" si="133"/>
        <v>0</v>
      </c>
      <c r="I178" s="317">
        <f t="shared" si="133"/>
        <v>0</v>
      </c>
      <c r="J178" s="317">
        <f t="shared" si="133"/>
        <v>0</v>
      </c>
      <c r="K178" s="317">
        <f t="shared" si="133"/>
        <v>0</v>
      </c>
      <c r="L178" s="317">
        <f t="shared" si="133"/>
        <v>0</v>
      </c>
      <c r="M178" s="317">
        <f t="shared" si="133"/>
        <v>-150</v>
      </c>
      <c r="N178" s="317">
        <f t="shared" si="133"/>
        <v>0</v>
      </c>
      <c r="O178" s="317">
        <f t="shared" si="133"/>
        <v>0</v>
      </c>
    </row>
    <row r="179" spans="1:15" s="306" customFormat="1" ht="22.7" customHeight="1" x14ac:dyDescent="0.25">
      <c r="B179" s="281"/>
      <c r="C179" s="307"/>
      <c r="D179" s="308"/>
      <c r="E179" s="307"/>
      <c r="F179" s="307"/>
      <c r="G179" s="307"/>
      <c r="H179" s="307"/>
      <c r="I179" s="307"/>
      <c r="J179" s="307"/>
      <c r="K179" s="307"/>
      <c r="L179" s="307"/>
      <c r="M179" s="307"/>
      <c r="N179" s="307"/>
      <c r="O179" s="307"/>
    </row>
    <row r="180" spans="1:15" s="46" customFormat="1" ht="45" customHeight="1" x14ac:dyDescent="0.25">
      <c r="A180" s="28" t="s">
        <v>326</v>
      </c>
      <c r="B180" s="29"/>
      <c r="C180" s="62"/>
      <c r="D180" s="74"/>
      <c r="E180" s="74"/>
      <c r="F180" s="74"/>
      <c r="G180" s="74"/>
      <c r="H180" s="74"/>
      <c r="I180" s="74"/>
      <c r="J180" s="74"/>
      <c r="K180" s="74"/>
      <c r="L180" s="74"/>
      <c r="M180" s="74"/>
      <c r="N180" s="74"/>
      <c r="O180" s="74"/>
    </row>
    <row r="181" spans="1:15" x14ac:dyDescent="0.25">
      <c r="A181" s="123" t="s">
        <v>350</v>
      </c>
      <c r="B181" s="29"/>
    </row>
    <row r="182" spans="1:15" x14ac:dyDescent="0.25">
      <c r="A182" s="81" t="s">
        <v>193</v>
      </c>
      <c r="B182" s="311" t="s">
        <v>21</v>
      </c>
      <c r="C182" s="39"/>
      <c r="D182" s="50">
        <v>30</v>
      </c>
      <c r="E182" s="50">
        <f>D182</f>
        <v>30</v>
      </c>
      <c r="F182" s="50">
        <f t="shared" ref="F182:O182" si="134">E182</f>
        <v>30</v>
      </c>
      <c r="G182" s="50">
        <f t="shared" si="134"/>
        <v>30</v>
      </c>
      <c r="H182" s="50">
        <f t="shared" si="134"/>
        <v>30</v>
      </c>
      <c r="I182" s="50">
        <f t="shared" si="134"/>
        <v>30</v>
      </c>
      <c r="J182" s="50">
        <f t="shared" si="134"/>
        <v>30</v>
      </c>
      <c r="K182" s="50">
        <f t="shared" si="134"/>
        <v>30</v>
      </c>
      <c r="L182" s="50">
        <f t="shared" si="134"/>
        <v>30</v>
      </c>
      <c r="M182" s="50">
        <f t="shared" si="134"/>
        <v>30</v>
      </c>
      <c r="N182" s="50">
        <f t="shared" si="134"/>
        <v>30</v>
      </c>
      <c r="O182" s="50">
        <f t="shared" si="134"/>
        <v>30</v>
      </c>
    </row>
    <row r="183" spans="1:15" ht="16.5" thickBot="1" x14ac:dyDescent="0.3">
      <c r="A183" s="17" t="s">
        <v>31</v>
      </c>
      <c r="B183" s="14" t="s">
        <v>24</v>
      </c>
      <c r="C183" s="39"/>
      <c r="D183" s="79">
        <f>D172/365*D182</f>
        <v>141.57024229686621</v>
      </c>
      <c r="E183" s="79">
        <f t="shared" ref="E183:O183" si="135">E172/365*E182</f>
        <v>139.02319500844436</v>
      </c>
      <c r="F183" s="79">
        <f t="shared" si="135"/>
        <v>150.07079699380748</v>
      </c>
      <c r="G183" s="79">
        <f t="shared" si="135"/>
        <v>172.36685151663727</v>
      </c>
      <c r="H183" s="79">
        <f t="shared" si="135"/>
        <v>202.93522797188621</v>
      </c>
      <c r="I183" s="79">
        <f>I172/365*I182</f>
        <v>240.30652712696232</v>
      </c>
      <c r="J183" s="79">
        <f t="shared" si="135"/>
        <v>260.57197735003183</v>
      </c>
      <c r="K183" s="79">
        <f t="shared" si="135"/>
        <v>263.04511664652409</v>
      </c>
      <c r="L183" s="79">
        <f t="shared" si="135"/>
        <v>266.7939854666372</v>
      </c>
      <c r="M183" s="79">
        <f t="shared" si="135"/>
        <v>253.83846567023539</v>
      </c>
      <c r="N183" s="79">
        <f t="shared" si="135"/>
        <v>0</v>
      </c>
      <c r="O183" s="79">
        <f t="shared" si="135"/>
        <v>0</v>
      </c>
    </row>
    <row r="184" spans="1:15" s="318" customFormat="1" ht="21.75" thickBot="1" x14ac:dyDescent="0.3">
      <c r="A184" s="316" t="s">
        <v>263</v>
      </c>
      <c r="B184" s="286" t="s">
        <v>24</v>
      </c>
      <c r="C184" s="183">
        <f t="shared" ref="C184" si="136">SUM(D184:O184)</f>
        <v>0</v>
      </c>
      <c r="D184" s="319">
        <f>-D183</f>
        <v>-141.57024229686621</v>
      </c>
      <c r="E184" s="317">
        <f>D183-E183</f>
        <v>2.5470472884218509</v>
      </c>
      <c r="F184" s="317">
        <f t="shared" ref="F184:O184" si="137">E183-F183</f>
        <v>-11.047601985363116</v>
      </c>
      <c r="G184" s="317">
        <f t="shared" si="137"/>
        <v>-22.296054522829792</v>
      </c>
      <c r="H184" s="317">
        <f t="shared" si="137"/>
        <v>-30.568376455248938</v>
      </c>
      <c r="I184" s="317">
        <f t="shared" si="137"/>
        <v>-37.371299155076116</v>
      </c>
      <c r="J184" s="317">
        <f t="shared" si="137"/>
        <v>-20.265450223069507</v>
      </c>
      <c r="K184" s="317">
        <f t="shared" si="137"/>
        <v>-2.4731392964922634</v>
      </c>
      <c r="L184" s="317">
        <f t="shared" si="137"/>
        <v>-3.7488688201131026</v>
      </c>
      <c r="M184" s="317">
        <f t="shared" si="137"/>
        <v>12.955519796401802</v>
      </c>
      <c r="N184" s="317">
        <f t="shared" si="137"/>
        <v>253.83846567023539</v>
      </c>
      <c r="O184" s="317">
        <f t="shared" si="137"/>
        <v>0</v>
      </c>
    </row>
    <row r="185" spans="1:15" s="17" customFormat="1" x14ac:dyDescent="0.25">
      <c r="A185" s="320" t="s">
        <v>32</v>
      </c>
      <c r="B185" s="198"/>
      <c r="C185" s="321"/>
      <c r="D185" s="40"/>
      <c r="E185" s="40"/>
      <c r="F185" s="40"/>
      <c r="G185" s="40"/>
      <c r="H185" s="40"/>
      <c r="I185" s="40"/>
      <c r="J185" s="40"/>
      <c r="K185" s="40"/>
      <c r="L185" s="40"/>
      <c r="M185" s="40"/>
      <c r="N185" s="73"/>
    </row>
    <row r="186" spans="1:15" x14ac:dyDescent="0.25">
      <c r="A186" s="17"/>
      <c r="C186" s="39"/>
      <c r="D186" s="40"/>
      <c r="E186" s="40"/>
      <c r="F186" s="40"/>
      <c r="G186" s="40"/>
      <c r="H186" s="40"/>
      <c r="I186" s="40"/>
      <c r="J186" s="40"/>
      <c r="K186" s="40"/>
      <c r="L186" s="40"/>
      <c r="M186" s="40"/>
      <c r="N186" s="40"/>
      <c r="O186" s="40"/>
    </row>
    <row r="187" spans="1:15" s="77" customFormat="1" ht="36.6" customHeight="1" x14ac:dyDescent="0.25">
      <c r="A187" s="75" t="s">
        <v>332</v>
      </c>
      <c r="B187" s="29" t="s">
        <v>24</v>
      </c>
      <c r="C187" s="76">
        <f>SUM(D187:O187)</f>
        <v>25434.689030251062</v>
      </c>
      <c r="D187" s="80">
        <f>D172+D178+D184</f>
        <v>1730.8677056483393</v>
      </c>
      <c r="E187" s="80">
        <f t="shared" ref="E187:O187" si="138">E172+E178+E184</f>
        <v>1693.9959198911617</v>
      </c>
      <c r="F187" s="80">
        <f t="shared" si="138"/>
        <v>1814.8137614392947</v>
      </c>
      <c r="G187" s="80">
        <f t="shared" si="138"/>
        <v>2074.8339722629239</v>
      </c>
      <c r="H187" s="80">
        <f t="shared" si="138"/>
        <v>2438.4768972027</v>
      </c>
      <c r="I187" s="80">
        <f t="shared" si="138"/>
        <v>2886.3581142229659</v>
      </c>
      <c r="J187" s="80">
        <f t="shared" si="138"/>
        <v>3150.0269408689842</v>
      </c>
      <c r="K187" s="80">
        <f t="shared" si="138"/>
        <v>3197.9091132362173</v>
      </c>
      <c r="L187" s="80">
        <f t="shared" si="138"/>
        <v>3242.2446210239732</v>
      </c>
      <c r="M187" s="80">
        <f t="shared" si="138"/>
        <v>2951.3235187842661</v>
      </c>
      <c r="N187" s="80">
        <f t="shared" si="138"/>
        <v>253.83846567023539</v>
      </c>
      <c r="O187" s="80">
        <f t="shared" si="138"/>
        <v>0</v>
      </c>
    </row>
    <row r="188" spans="1:15" ht="50.25" customHeight="1" x14ac:dyDescent="0.25">
      <c r="A188" s="322" t="s">
        <v>265</v>
      </c>
      <c r="B188" s="209"/>
      <c r="C188" s="323" t="str">
        <f>IF(C172=C187,"OK","ERROR: Sales do not equal Production!")</f>
        <v>OK</v>
      </c>
    </row>
    <row r="190" spans="1:15" s="46" customFormat="1" ht="36" customHeight="1" x14ac:dyDescent="0.25">
      <c r="A190" s="233" t="s">
        <v>194</v>
      </c>
      <c r="B190" s="29"/>
      <c r="C190" s="62"/>
      <c r="D190" s="62"/>
      <c r="E190" s="62"/>
      <c r="F190" s="62"/>
      <c r="G190" s="62"/>
      <c r="H190" s="62"/>
      <c r="I190" s="62"/>
      <c r="J190" s="62"/>
      <c r="K190" s="62"/>
      <c r="L190" s="62"/>
      <c r="M190" s="62"/>
      <c r="N190" s="62"/>
      <c r="O190" s="62"/>
    </row>
    <row r="192" spans="1:15" s="17" customFormat="1" x14ac:dyDescent="0.25">
      <c r="A192" s="109" t="s">
        <v>179</v>
      </c>
      <c r="B192" s="314"/>
      <c r="C192" s="110"/>
      <c r="D192" s="40"/>
      <c r="E192" s="40"/>
      <c r="F192" s="40"/>
      <c r="G192" s="40"/>
      <c r="H192" s="40"/>
      <c r="I192" s="40"/>
      <c r="J192" s="40"/>
      <c r="K192" s="40"/>
      <c r="L192" s="40"/>
      <c r="M192" s="40"/>
      <c r="N192" s="40"/>
      <c r="O192" s="40"/>
    </row>
    <row r="193" spans="1:15" s="17" customFormat="1" x14ac:dyDescent="0.25">
      <c r="A193" s="220" t="str">
        <f>'Sales&amp;Revenue'!A76</f>
        <v>Product A' - selling price</v>
      </c>
      <c r="B193" s="315" t="str">
        <f>'Sales&amp;Revenue'!B76</f>
        <v xml:space="preserve">US$ Real/ unit </v>
      </c>
      <c r="C193" s="231">
        <f>'Sales&amp;Revenue'!D76</f>
        <v>38</v>
      </c>
      <c r="D193" s="230">
        <f>'Sales&amp;Revenue'!D76</f>
        <v>38</v>
      </c>
      <c r="E193" s="230">
        <f>'Sales&amp;Revenue'!E76</f>
        <v>37.24</v>
      </c>
      <c r="F193" s="230">
        <f>'Sales&amp;Revenue'!F76</f>
        <v>36.495200000000004</v>
      </c>
      <c r="G193" s="230">
        <f>'Sales&amp;Revenue'!G76</f>
        <v>35.765296000000006</v>
      </c>
      <c r="H193" s="230">
        <f>'Sales&amp;Revenue'!H76</f>
        <v>35.049990080000008</v>
      </c>
      <c r="I193" s="230">
        <f>'Sales&amp;Revenue'!I76</f>
        <v>34.348990278400009</v>
      </c>
      <c r="J193" s="230">
        <f>'Sales&amp;Revenue'!J76</f>
        <v>33.662010472832009</v>
      </c>
      <c r="K193" s="230">
        <f>'Sales&amp;Revenue'!K76</f>
        <v>32.988770263375365</v>
      </c>
      <c r="L193" s="230">
        <f>'Sales&amp;Revenue'!L76</f>
        <v>32.328994858107855</v>
      </c>
      <c r="M193" s="230">
        <f>'Sales&amp;Revenue'!M76</f>
        <v>31.682414960945696</v>
      </c>
      <c r="N193" s="230">
        <f>'Sales&amp;Revenue'!N76</f>
        <v>31.048766661726781</v>
      </c>
      <c r="O193" s="230">
        <f>'Sales&amp;Revenue'!O76</f>
        <v>30.427791328492244</v>
      </c>
    </row>
    <row r="194" spans="1:15" s="17" customFormat="1" x14ac:dyDescent="0.25">
      <c r="A194" s="218" t="s">
        <v>176</v>
      </c>
      <c r="B194" s="314" t="s">
        <v>177</v>
      </c>
      <c r="C194" s="110"/>
      <c r="D194" s="221">
        <f t="shared" ref="D194:O194" si="139">D100+D113+D119</f>
        <v>27.15</v>
      </c>
      <c r="E194" s="221">
        <f t="shared" si="139"/>
        <v>26.79</v>
      </c>
      <c r="F194" s="221">
        <f t="shared" si="139"/>
        <v>26.437199999999997</v>
      </c>
      <c r="G194" s="221">
        <f t="shared" si="139"/>
        <v>26.091456000000001</v>
      </c>
      <c r="H194" s="221">
        <f>H100+H113+H119</f>
        <v>25.752626880000001</v>
      </c>
      <c r="I194" s="221">
        <f t="shared" si="139"/>
        <v>25.420574342400002</v>
      </c>
      <c r="J194" s="221">
        <f t="shared" si="139"/>
        <v>25.095162855551997</v>
      </c>
      <c r="K194" s="221">
        <f t="shared" si="139"/>
        <v>24.776259598440959</v>
      </c>
      <c r="L194" s="221">
        <f t="shared" si="139"/>
        <v>24.463734406472142</v>
      </c>
      <c r="M194" s="221">
        <f t="shared" si="139"/>
        <v>24.157459718342693</v>
      </c>
      <c r="N194" s="221">
        <f t="shared" si="139"/>
        <v>23.857310523975841</v>
      </c>
      <c r="O194" s="221">
        <f t="shared" si="139"/>
        <v>23.563164313496323</v>
      </c>
    </row>
    <row r="195" spans="1:15" s="17" customFormat="1" x14ac:dyDescent="0.25">
      <c r="A195" s="41" t="s">
        <v>178</v>
      </c>
      <c r="B195" s="314" t="s">
        <v>177</v>
      </c>
      <c r="C195" s="110"/>
      <c r="D195" s="326">
        <f>D193-D194</f>
        <v>10.850000000000001</v>
      </c>
      <c r="E195" s="326">
        <f t="shared" ref="E195:O195" si="140">E193-E194</f>
        <v>10.450000000000003</v>
      </c>
      <c r="F195" s="326">
        <f t="shared" si="140"/>
        <v>10.058000000000007</v>
      </c>
      <c r="G195" s="326">
        <f t="shared" si="140"/>
        <v>9.6738400000000055</v>
      </c>
      <c r="H195" s="326">
        <f t="shared" si="140"/>
        <v>9.2973632000000066</v>
      </c>
      <c r="I195" s="326">
        <f t="shared" si="140"/>
        <v>8.9284159360000075</v>
      </c>
      <c r="J195" s="326">
        <f t="shared" si="140"/>
        <v>8.5668476172800112</v>
      </c>
      <c r="K195" s="326">
        <f t="shared" si="140"/>
        <v>8.2125106649344062</v>
      </c>
      <c r="L195" s="326">
        <f t="shared" si="140"/>
        <v>7.865260451635713</v>
      </c>
      <c r="M195" s="326">
        <f t="shared" si="140"/>
        <v>7.5249552426030029</v>
      </c>
      <c r="N195" s="326">
        <f t="shared" si="140"/>
        <v>7.1914561377509401</v>
      </c>
      <c r="O195" s="326">
        <f t="shared" si="140"/>
        <v>6.8646270149959214</v>
      </c>
    </row>
    <row r="196" spans="1:15" s="17" customFormat="1" x14ac:dyDescent="0.25">
      <c r="A196" s="218"/>
      <c r="B196" s="314"/>
      <c r="C196" s="110"/>
      <c r="D196" s="221"/>
      <c r="E196" s="221"/>
      <c r="F196" s="221"/>
      <c r="G196" s="221"/>
      <c r="H196" s="221"/>
      <c r="I196" s="221"/>
      <c r="J196" s="221"/>
      <c r="K196" s="221"/>
      <c r="L196" s="221"/>
      <c r="M196" s="221"/>
      <c r="N196" s="221"/>
      <c r="O196" s="221"/>
    </row>
    <row r="197" spans="1:15" s="17" customFormat="1" x14ac:dyDescent="0.25">
      <c r="A197" s="109" t="s">
        <v>180</v>
      </c>
      <c r="B197" s="314"/>
      <c r="C197" s="110"/>
      <c r="D197" s="40"/>
      <c r="E197" s="40"/>
      <c r="F197" s="40"/>
      <c r="G197" s="40"/>
      <c r="H197" s="40"/>
      <c r="I197" s="40"/>
      <c r="J197" s="40"/>
      <c r="K197" s="40"/>
      <c r="L197" s="40"/>
      <c r="M197" s="40"/>
      <c r="N197" s="40"/>
      <c r="O197" s="40"/>
    </row>
    <row r="198" spans="1:15" s="17" customFormat="1" x14ac:dyDescent="0.25">
      <c r="A198" s="220" t="str">
        <f>'Sales&amp;Revenue'!A77</f>
        <v>Product B' - selling price</v>
      </c>
      <c r="B198" s="315" t="str">
        <f>'Sales&amp;Revenue'!B77</f>
        <v xml:space="preserve">US$ Real/ unit </v>
      </c>
      <c r="C198" s="231">
        <f>'Sales&amp;Revenue'!D77</f>
        <v>48</v>
      </c>
      <c r="D198" s="230">
        <f>'Sales&amp;Revenue'!D77</f>
        <v>48</v>
      </c>
      <c r="E198" s="230">
        <f>'Sales&amp;Revenue'!E77</f>
        <v>47.04</v>
      </c>
      <c r="F198" s="230">
        <f>'Sales&amp;Revenue'!F77</f>
        <v>46.099199999999996</v>
      </c>
      <c r="G198" s="230">
        <f>'Sales&amp;Revenue'!G77</f>
        <v>45.177215999999994</v>
      </c>
      <c r="H198" s="230">
        <f>'Sales&amp;Revenue'!H77</f>
        <v>44.273671679999993</v>
      </c>
      <c r="I198" s="230">
        <f>'Sales&amp;Revenue'!I77</f>
        <v>43.388198246399995</v>
      </c>
      <c r="J198" s="230">
        <f>'Sales&amp;Revenue'!J77</f>
        <v>42.520434281471992</v>
      </c>
      <c r="K198" s="230">
        <f>'Sales&amp;Revenue'!K77</f>
        <v>41.670025595842553</v>
      </c>
      <c r="L198" s="230">
        <f>'Sales&amp;Revenue'!L77</f>
        <v>40.836625083925703</v>
      </c>
      <c r="M198" s="230">
        <f>'Sales&amp;Revenue'!M77</f>
        <v>40.019892582247188</v>
      </c>
      <c r="N198" s="230">
        <f>'Sales&amp;Revenue'!N77</f>
        <v>39.219494730602243</v>
      </c>
      <c r="O198" s="230">
        <f>'Sales&amp;Revenue'!O77</f>
        <v>38.435104835990195</v>
      </c>
    </row>
    <row r="199" spans="1:15" s="17" customFormat="1" x14ac:dyDescent="0.25">
      <c r="A199" s="218" t="s">
        <v>184</v>
      </c>
      <c r="B199" s="314" t="s">
        <v>177</v>
      </c>
      <c r="C199" s="110"/>
      <c r="D199" s="221">
        <f t="shared" ref="D199:O199" si="141">D101+D113+D119</f>
        <v>37.15</v>
      </c>
      <c r="E199" s="221">
        <f t="shared" si="141"/>
        <v>36.589999999999996</v>
      </c>
      <c r="F199" s="221">
        <f t="shared" si="141"/>
        <v>36.041199999999996</v>
      </c>
      <c r="G199" s="221">
        <f t="shared" si="141"/>
        <v>35.503375999999996</v>
      </c>
      <c r="H199" s="221">
        <f>H101+H113+H119</f>
        <v>34.97630848</v>
      </c>
      <c r="I199" s="221">
        <f t="shared" si="141"/>
        <v>34.459782310400001</v>
      </c>
      <c r="J199" s="221">
        <f t="shared" si="141"/>
        <v>33.953586664192002</v>
      </c>
      <c r="K199" s="221">
        <f t="shared" si="141"/>
        <v>33.457514930908161</v>
      </c>
      <c r="L199" s="221">
        <f t="shared" si="141"/>
        <v>32.971364632289998</v>
      </c>
      <c r="M199" s="221">
        <f t="shared" si="141"/>
        <v>32.494937339644196</v>
      </c>
      <c r="N199" s="221">
        <f t="shared" si="141"/>
        <v>32.02803859285131</v>
      </c>
      <c r="O199" s="221">
        <f t="shared" si="141"/>
        <v>31.570477820994284</v>
      </c>
    </row>
    <row r="200" spans="1:15" s="17" customFormat="1" x14ac:dyDescent="0.25">
      <c r="A200" s="41" t="s">
        <v>185</v>
      </c>
      <c r="B200" s="314" t="s">
        <v>177</v>
      </c>
      <c r="C200" s="110"/>
      <c r="D200" s="326">
        <f>D198-D199</f>
        <v>10.850000000000001</v>
      </c>
      <c r="E200" s="326">
        <f t="shared" ref="E200" si="142">E198-E199</f>
        <v>10.450000000000003</v>
      </c>
      <c r="F200" s="326">
        <f t="shared" ref="F200" si="143">F198-F199</f>
        <v>10.058</v>
      </c>
      <c r="G200" s="326">
        <f t="shared" ref="G200" si="144">G198-G199</f>
        <v>9.6738399999999984</v>
      </c>
      <c r="H200" s="326">
        <f t="shared" ref="H200" si="145">H198-H199</f>
        <v>9.2973631999999924</v>
      </c>
      <c r="I200" s="326">
        <f t="shared" ref="I200" si="146">I198-I199</f>
        <v>8.9284159359999933</v>
      </c>
      <c r="J200" s="326">
        <f t="shared" ref="J200" si="147">J198-J199</f>
        <v>8.5668476172799899</v>
      </c>
      <c r="K200" s="326">
        <f t="shared" ref="K200" si="148">K198-K199</f>
        <v>8.212510664934392</v>
      </c>
      <c r="L200" s="326">
        <f t="shared" ref="L200" si="149">L198-L199</f>
        <v>7.8652604516357059</v>
      </c>
      <c r="M200" s="326">
        <f t="shared" ref="M200" si="150">M198-M199</f>
        <v>7.5249552426029922</v>
      </c>
      <c r="N200" s="326">
        <f t="shared" ref="N200" si="151">N198-N199</f>
        <v>7.191456137750933</v>
      </c>
      <c r="O200" s="326">
        <f t="shared" ref="O200" si="152">O198-O199</f>
        <v>6.8646270149959108</v>
      </c>
    </row>
    <row r="201" spans="1:15" s="17" customFormat="1" x14ac:dyDescent="0.25">
      <c r="A201" s="218"/>
      <c r="B201" s="314"/>
      <c r="C201" s="110"/>
      <c r="D201" s="221"/>
      <c r="E201" s="221"/>
      <c r="F201" s="221"/>
      <c r="G201" s="221"/>
      <c r="H201" s="221"/>
      <c r="I201" s="221"/>
      <c r="J201" s="221"/>
      <c r="K201" s="221"/>
      <c r="L201" s="221"/>
      <c r="M201" s="221"/>
      <c r="N201" s="221"/>
      <c r="O201" s="221"/>
    </row>
    <row r="202" spans="1:15" s="17" customFormat="1" x14ac:dyDescent="0.25">
      <c r="A202" s="109" t="s">
        <v>186</v>
      </c>
      <c r="B202" s="314"/>
      <c r="C202" s="110"/>
      <c r="D202" s="40"/>
      <c r="E202" s="40"/>
      <c r="F202" s="40"/>
      <c r="G202" s="40"/>
      <c r="H202" s="40"/>
      <c r="I202" s="40"/>
      <c r="J202" s="40"/>
      <c r="K202" s="40"/>
      <c r="L202" s="40"/>
      <c r="M202" s="40"/>
      <c r="N202" s="40"/>
      <c r="O202" s="40"/>
    </row>
    <row r="203" spans="1:15" s="17" customFormat="1" x14ac:dyDescent="0.25">
      <c r="A203" s="220" t="str">
        <f>'Sales&amp;Revenue'!A78</f>
        <v>Product C' - selling price</v>
      </c>
      <c r="B203" s="315" t="str">
        <f>'Sales&amp;Revenue'!B78</f>
        <v xml:space="preserve">US$ Real/ unit </v>
      </c>
      <c r="C203" s="231">
        <f>'Sales&amp;Revenue'!D78</f>
        <v>58</v>
      </c>
      <c r="D203" s="230">
        <f>'Sales&amp;Revenue'!D78</f>
        <v>58</v>
      </c>
      <c r="E203" s="230">
        <f>'Sales&amp;Revenue'!E78</f>
        <v>56.839999999999996</v>
      </c>
      <c r="F203" s="230">
        <f>'Sales&amp;Revenue'!F78</f>
        <v>55.703199999999995</v>
      </c>
      <c r="G203" s="230">
        <f>'Sales&amp;Revenue'!G78</f>
        <v>54.589135999999996</v>
      </c>
      <c r="H203" s="230">
        <f>'Sales&amp;Revenue'!H78</f>
        <v>53.497353279999999</v>
      </c>
      <c r="I203" s="230">
        <f>'Sales&amp;Revenue'!I78</f>
        <v>52.427406214400001</v>
      </c>
      <c r="J203" s="230">
        <f>'Sales&amp;Revenue'!J78</f>
        <v>51.378858090111997</v>
      </c>
      <c r="K203" s="230">
        <f>'Sales&amp;Revenue'!K78</f>
        <v>50.351280928309755</v>
      </c>
      <c r="L203" s="230">
        <f>'Sales&amp;Revenue'!L78</f>
        <v>49.344255309743559</v>
      </c>
      <c r="M203" s="230">
        <f>'Sales&amp;Revenue'!M78</f>
        <v>48.35737020354869</v>
      </c>
      <c r="N203" s="230">
        <f>'Sales&amp;Revenue'!N78</f>
        <v>47.390222799477712</v>
      </c>
      <c r="O203" s="230">
        <f>'Sales&amp;Revenue'!O78</f>
        <v>46.442418343488157</v>
      </c>
    </row>
    <row r="204" spans="1:15" s="17" customFormat="1" x14ac:dyDescent="0.25">
      <c r="A204" s="218" t="s">
        <v>187</v>
      </c>
      <c r="B204" s="314" t="s">
        <v>177</v>
      </c>
      <c r="C204" s="110"/>
      <c r="D204" s="221">
        <f t="shared" ref="D204:O204" si="153">D102+D113+D119</f>
        <v>47.15</v>
      </c>
      <c r="E204" s="221">
        <f t="shared" si="153"/>
        <v>46.39</v>
      </c>
      <c r="F204" s="221">
        <f t="shared" si="153"/>
        <v>45.645200000000003</v>
      </c>
      <c r="G204" s="221">
        <f t="shared" si="153"/>
        <v>44.915296000000005</v>
      </c>
      <c r="H204" s="221">
        <f t="shared" si="153"/>
        <v>44.199990080000006</v>
      </c>
      <c r="I204" s="221">
        <f t="shared" si="153"/>
        <v>43.498990278400008</v>
      </c>
      <c r="J204" s="221">
        <f t="shared" si="153"/>
        <v>42.812010472832007</v>
      </c>
      <c r="K204" s="221">
        <f t="shared" si="153"/>
        <v>42.138770263375363</v>
      </c>
      <c r="L204" s="221">
        <f t="shared" si="153"/>
        <v>41.478994858107853</v>
      </c>
      <c r="M204" s="221">
        <f t="shared" si="153"/>
        <v>40.832414960945691</v>
      </c>
      <c r="N204" s="221">
        <f t="shared" si="153"/>
        <v>40.198766661726779</v>
      </c>
      <c r="O204" s="221">
        <f t="shared" si="153"/>
        <v>39.577791328492246</v>
      </c>
    </row>
    <row r="205" spans="1:15" s="17" customFormat="1" x14ac:dyDescent="0.25">
      <c r="A205" s="41" t="s">
        <v>188</v>
      </c>
      <c r="B205" s="314" t="s">
        <v>177</v>
      </c>
      <c r="C205" s="110"/>
      <c r="D205" s="326">
        <f>D203-D204</f>
        <v>10.850000000000001</v>
      </c>
      <c r="E205" s="326">
        <f t="shared" ref="E205" si="154">E203-E204</f>
        <v>10.449999999999996</v>
      </c>
      <c r="F205" s="326">
        <f t="shared" ref="F205" si="155">F203-F204</f>
        <v>10.057999999999993</v>
      </c>
      <c r="G205" s="326">
        <f t="shared" ref="G205" si="156">G203-G204</f>
        <v>9.6738399999999913</v>
      </c>
      <c r="H205" s="326">
        <f t="shared" ref="H205" si="157">H203-H204</f>
        <v>9.2973631999999924</v>
      </c>
      <c r="I205" s="326">
        <f t="shared" ref="I205" si="158">I203-I204</f>
        <v>8.9284159359999933</v>
      </c>
      <c r="J205" s="326">
        <f t="shared" ref="J205" si="159">J203-J204</f>
        <v>8.5668476172799899</v>
      </c>
      <c r="K205" s="326">
        <f t="shared" ref="K205" si="160">K203-K204</f>
        <v>8.212510664934392</v>
      </c>
      <c r="L205" s="326">
        <f t="shared" ref="L205" si="161">L203-L204</f>
        <v>7.8652604516357059</v>
      </c>
      <c r="M205" s="326">
        <f t="shared" ref="M205" si="162">M203-M204</f>
        <v>7.5249552426029993</v>
      </c>
      <c r="N205" s="326">
        <f t="shared" ref="N205" si="163">N203-N204</f>
        <v>7.191456137750933</v>
      </c>
      <c r="O205" s="326">
        <f t="shared" ref="O205" si="164">O203-O204</f>
        <v>6.8646270149959108</v>
      </c>
    </row>
    <row r="206" spans="1:15" s="17" customFormat="1" x14ac:dyDescent="0.25">
      <c r="A206" s="218"/>
      <c r="B206" s="314"/>
      <c r="C206" s="110"/>
      <c r="D206" s="232"/>
      <c r="E206" s="232"/>
      <c r="F206" s="232"/>
      <c r="G206" s="232"/>
      <c r="H206" s="232"/>
      <c r="I206" s="232"/>
      <c r="J206" s="232"/>
      <c r="K206" s="232"/>
      <c r="L206" s="232"/>
      <c r="M206" s="232"/>
      <c r="N206" s="232"/>
      <c r="O206" s="232"/>
    </row>
    <row r="207" spans="1:15" s="17" customFormat="1" x14ac:dyDescent="0.25">
      <c r="A207" s="109" t="s">
        <v>189</v>
      </c>
      <c r="B207" s="314"/>
      <c r="C207" s="110"/>
      <c r="D207" s="221"/>
      <c r="E207" s="221"/>
      <c r="F207" s="221"/>
      <c r="G207" s="221"/>
      <c r="H207" s="221"/>
      <c r="I207" s="221"/>
      <c r="J207" s="221"/>
      <c r="K207" s="221"/>
      <c r="L207" s="221"/>
      <c r="M207" s="221"/>
      <c r="N207" s="221"/>
      <c r="O207" s="221"/>
    </row>
    <row r="208" spans="1:15" s="17" customFormat="1" x14ac:dyDescent="0.25">
      <c r="A208" s="220" t="str">
        <f>'Sales&amp;Revenue'!A84</f>
        <v>Revenue from ABC units</v>
      </c>
      <c r="B208" s="315" t="str">
        <f>'Sales&amp;Revenue'!B84</f>
        <v>US$ 000  Real</v>
      </c>
      <c r="C208" s="229">
        <f>'Sales&amp;Revenue'!D84</f>
        <v>1770</v>
      </c>
      <c r="D208" s="219">
        <f>'Sales&amp;Revenue'!D84</f>
        <v>1770</v>
      </c>
      <c r="E208" s="219">
        <f>'Sales&amp;Revenue'!E84</f>
        <v>1835.54</v>
      </c>
      <c r="F208" s="219">
        <f>'Sales&amp;Revenue'!F84</f>
        <v>1978.7121200000001</v>
      </c>
      <c r="G208" s="219">
        <f>'Sales&amp;Revenue'!G84</f>
        <v>2293.9390258400003</v>
      </c>
      <c r="H208" s="219">
        <f>'Sales&amp;Revenue'!H84</f>
        <v>2759.2283782817608</v>
      </c>
      <c r="I208" s="219">
        <f>'Sales&amp;Revenue'!I84</f>
        <v>3330.2531115073416</v>
      </c>
      <c r="J208" s="219">
        <f>'Sales&amp;Revenue'!J84</f>
        <v>3648.1741866301709</v>
      </c>
      <c r="K208" s="219">
        <f>'Sales&amp;Revenue'!K84</f>
        <v>3682.4670239844936</v>
      </c>
      <c r="L208" s="219">
        <f>'Sales&amp;Revenue'!L84</f>
        <v>3717.0822140099485</v>
      </c>
      <c r="M208" s="219">
        <f>'Sales&amp;Revenue'!M84</f>
        <v>3752.0227868216416</v>
      </c>
      <c r="N208" s="219">
        <f>'Sales&amp;Revenue'!N84</f>
        <v>0</v>
      </c>
      <c r="O208" s="219">
        <f>'Sales&amp;Revenue'!O84</f>
        <v>0</v>
      </c>
    </row>
    <row r="209" spans="1:15" s="17" customFormat="1" x14ac:dyDescent="0.25">
      <c r="A209" s="218" t="str">
        <f>A122</f>
        <v>3b.  Variable Costs</v>
      </c>
      <c r="B209" s="287" t="str">
        <f>B122</f>
        <v>US$ 000 Real</v>
      </c>
      <c r="C209" s="39">
        <f t="shared" ref="C209:C210" si="165">SUM(D209:O209)</f>
        <v>22320.515030251059</v>
      </c>
      <c r="D209" s="40">
        <f t="shared" ref="D209:O209" si="166">D122</f>
        <v>1430.5205479452054</v>
      </c>
      <c r="E209" s="40">
        <f t="shared" si="166"/>
        <v>1399.5314726027398</v>
      </c>
      <c r="F209" s="40">
        <f t="shared" si="166"/>
        <v>1520.9439634246578</v>
      </c>
      <c r="G209" s="40">
        <f t="shared" si="166"/>
        <v>1779.2126267857536</v>
      </c>
      <c r="H209" s="40">
        <f t="shared" si="166"/>
        <v>2151.1278736579493</v>
      </c>
      <c r="I209" s="40">
        <f t="shared" si="166"/>
        <v>2605.8120133780421</v>
      </c>
      <c r="J209" s="40">
        <f t="shared" si="166"/>
        <v>2852.3749910920537</v>
      </c>
      <c r="K209" s="40">
        <f t="shared" si="166"/>
        <v>2882.4648525327098</v>
      </c>
      <c r="L209" s="40">
        <f t="shared" si="166"/>
        <v>2928.0760898440863</v>
      </c>
      <c r="M209" s="40">
        <f t="shared" si="166"/>
        <v>2770.4505989878644</v>
      </c>
      <c r="N209" s="40">
        <f t="shared" si="166"/>
        <v>0</v>
      </c>
      <c r="O209" s="40">
        <f t="shared" si="166"/>
        <v>0</v>
      </c>
    </row>
    <row r="210" spans="1:15" s="218" customFormat="1" x14ac:dyDescent="0.25">
      <c r="A210" s="218" t="s">
        <v>189</v>
      </c>
      <c r="B210" s="287" t="s">
        <v>25</v>
      </c>
      <c r="C210" s="307">
        <f t="shared" si="165"/>
        <v>6446.9038168242951</v>
      </c>
      <c r="D210" s="327">
        <f>D208-D209</f>
        <v>339.47945205479459</v>
      </c>
      <c r="E210" s="327">
        <f t="shared" ref="E210:O210" si="167">E208-E209</f>
        <v>436.0085273972602</v>
      </c>
      <c r="F210" s="327">
        <f t="shared" si="167"/>
        <v>457.76815657534235</v>
      </c>
      <c r="G210" s="327">
        <f t="shared" si="167"/>
        <v>514.72639905424671</v>
      </c>
      <c r="H210" s="327">
        <f t="shared" si="167"/>
        <v>608.1005046238115</v>
      </c>
      <c r="I210" s="327">
        <f t="shared" si="167"/>
        <v>724.44109812929946</v>
      </c>
      <c r="J210" s="327">
        <f t="shared" si="167"/>
        <v>795.79919553811715</v>
      </c>
      <c r="K210" s="327">
        <f t="shared" si="167"/>
        <v>800.00217145178385</v>
      </c>
      <c r="L210" s="327">
        <f t="shared" si="167"/>
        <v>789.00612416586227</v>
      </c>
      <c r="M210" s="327">
        <f t="shared" si="167"/>
        <v>981.57218783377721</v>
      </c>
      <c r="N210" s="327">
        <f t="shared" si="167"/>
        <v>0</v>
      </c>
      <c r="O210" s="327">
        <f t="shared" si="167"/>
        <v>0</v>
      </c>
    </row>
    <row r="211" spans="1:15" s="17" customFormat="1" x14ac:dyDescent="0.25">
      <c r="A211" s="218"/>
      <c r="B211" s="314"/>
      <c r="C211" s="156"/>
      <c r="D211" s="171"/>
      <c r="E211" s="171"/>
      <c r="F211" s="171"/>
      <c r="G211" s="171"/>
      <c r="H211" s="171"/>
      <c r="I211" s="171"/>
      <c r="J211" s="171"/>
      <c r="K211" s="171"/>
      <c r="L211" s="171"/>
      <c r="M211" s="171"/>
      <c r="N211" s="171"/>
      <c r="O211" s="171"/>
    </row>
    <row r="212" spans="1:15" s="17" customFormat="1" x14ac:dyDescent="0.25">
      <c r="A212" s="109" t="s">
        <v>190</v>
      </c>
      <c r="B212" s="314"/>
      <c r="C212" s="156"/>
      <c r="D212" s="171"/>
      <c r="E212" s="171"/>
      <c r="F212" s="171"/>
      <c r="G212" s="171"/>
      <c r="H212" s="171"/>
      <c r="I212" s="171"/>
      <c r="J212" s="171"/>
      <c r="K212" s="171"/>
      <c r="L212" s="171"/>
      <c r="M212" s="171"/>
      <c r="N212" s="171"/>
      <c r="O212" s="171"/>
    </row>
    <row r="213" spans="1:15" s="17" customFormat="1" x14ac:dyDescent="0.25">
      <c r="A213" s="218" t="str">
        <f>A164</f>
        <v xml:space="preserve">3c.  Fixed Costs </v>
      </c>
      <c r="B213" s="287" t="str">
        <f>B164</f>
        <v>US$ 000 Real</v>
      </c>
      <c r="C213" s="183">
        <f t="shared" ref="C213:C214" si="168">SUM(D213:O213)</f>
        <v>3114.1739999999995</v>
      </c>
      <c r="D213" s="171">
        <f t="shared" ref="D213:O213" si="169">D164</f>
        <v>291.91739999999999</v>
      </c>
      <c r="E213" s="171">
        <f t="shared" si="169"/>
        <v>291.91739999999999</v>
      </c>
      <c r="F213" s="171">
        <f t="shared" si="169"/>
        <v>304.91739999999999</v>
      </c>
      <c r="G213" s="171">
        <f t="shared" si="169"/>
        <v>317.91739999999999</v>
      </c>
      <c r="H213" s="171">
        <f t="shared" si="169"/>
        <v>317.91739999999999</v>
      </c>
      <c r="I213" s="171">
        <f t="shared" si="169"/>
        <v>317.91739999999999</v>
      </c>
      <c r="J213" s="171">
        <f t="shared" si="169"/>
        <v>317.91739999999999</v>
      </c>
      <c r="K213" s="171">
        <f t="shared" si="169"/>
        <v>317.91739999999999</v>
      </c>
      <c r="L213" s="171">
        <f t="shared" si="169"/>
        <v>317.91739999999999</v>
      </c>
      <c r="M213" s="171">
        <f t="shared" si="169"/>
        <v>317.91739999999999</v>
      </c>
      <c r="N213" s="171">
        <f t="shared" si="169"/>
        <v>0</v>
      </c>
      <c r="O213" s="171">
        <f t="shared" si="169"/>
        <v>0</v>
      </c>
    </row>
    <row r="214" spans="1:15" s="218" customFormat="1" x14ac:dyDescent="0.25">
      <c r="A214" s="218" t="s">
        <v>204</v>
      </c>
      <c r="B214" s="287" t="s">
        <v>25</v>
      </c>
      <c r="C214" s="307">
        <f t="shared" si="168"/>
        <v>3332.7298168242951</v>
      </c>
      <c r="D214" s="327">
        <f>D210-D213</f>
        <v>47.562052054794606</v>
      </c>
      <c r="E214" s="327">
        <f t="shared" ref="E214:O214" si="170">E210-E213</f>
        <v>144.09112739726021</v>
      </c>
      <c r="F214" s="327">
        <f t="shared" si="170"/>
        <v>152.85075657534236</v>
      </c>
      <c r="G214" s="327">
        <f t="shared" si="170"/>
        <v>196.80899905424673</v>
      </c>
      <c r="H214" s="327">
        <f t="shared" si="170"/>
        <v>290.18310462381152</v>
      </c>
      <c r="I214" s="327">
        <f t="shared" si="170"/>
        <v>406.52369812929948</v>
      </c>
      <c r="J214" s="327">
        <f t="shared" si="170"/>
        <v>477.88179553811716</v>
      </c>
      <c r="K214" s="327">
        <f t="shared" si="170"/>
        <v>482.08477145178387</v>
      </c>
      <c r="L214" s="327">
        <f t="shared" si="170"/>
        <v>471.08872416586229</v>
      </c>
      <c r="M214" s="327">
        <f t="shared" si="170"/>
        <v>663.65478783377716</v>
      </c>
      <c r="N214" s="327">
        <f t="shared" si="170"/>
        <v>0</v>
      </c>
      <c r="O214" s="327">
        <f t="shared" si="170"/>
        <v>0</v>
      </c>
    </row>
    <row r="215" spans="1:15" s="17" customFormat="1" x14ac:dyDescent="0.25">
      <c r="A215" s="218"/>
      <c r="B215" s="314"/>
      <c r="C215" s="156"/>
      <c r="D215" s="171"/>
      <c r="E215" s="171"/>
      <c r="F215" s="171"/>
      <c r="G215" s="171"/>
      <c r="H215" s="171"/>
      <c r="I215" s="171"/>
      <c r="J215" s="171"/>
      <c r="K215" s="171"/>
      <c r="L215" s="171"/>
      <c r="M215" s="171"/>
      <c r="N215" s="171"/>
      <c r="O215" s="171"/>
    </row>
    <row r="216" spans="1:15" s="17" customFormat="1" x14ac:dyDescent="0.25">
      <c r="A216" s="109" t="s">
        <v>191</v>
      </c>
      <c r="B216" s="314"/>
      <c r="C216" s="156"/>
      <c r="D216" s="171"/>
      <c r="E216" s="171"/>
      <c r="F216" s="171"/>
      <c r="G216" s="171"/>
      <c r="H216" s="171"/>
      <c r="I216" s="171"/>
      <c r="J216" s="171"/>
      <c r="K216" s="171"/>
      <c r="L216" s="171"/>
      <c r="M216" s="171"/>
      <c r="N216" s="171"/>
      <c r="O216" s="171"/>
    </row>
    <row r="217" spans="1:15" s="17" customFormat="1" x14ac:dyDescent="0.25">
      <c r="A217" s="218" t="str">
        <f>A35</f>
        <v>Cashstream 2: Capital Costs (for plant and equipment)</v>
      </c>
      <c r="B217" s="287" t="str">
        <f>B35</f>
        <v>US$ 000 Real</v>
      </c>
      <c r="C217" s="183">
        <f t="shared" ref="C217:C218" si="171">SUM(D217:O217)</f>
        <v>1150</v>
      </c>
      <c r="D217" s="171">
        <f t="shared" ref="D217:O217" si="172">D35</f>
        <v>315</v>
      </c>
      <c r="E217" s="171">
        <f t="shared" si="172"/>
        <v>275</v>
      </c>
      <c r="F217" s="171">
        <f t="shared" si="172"/>
        <v>175</v>
      </c>
      <c r="G217" s="171">
        <f t="shared" si="172"/>
        <v>55</v>
      </c>
      <c r="H217" s="171">
        <f t="shared" si="172"/>
        <v>55</v>
      </c>
      <c r="I217" s="171">
        <f t="shared" si="172"/>
        <v>55</v>
      </c>
      <c r="J217" s="171">
        <f t="shared" si="172"/>
        <v>55</v>
      </c>
      <c r="K217" s="171">
        <f t="shared" si="172"/>
        <v>55</v>
      </c>
      <c r="L217" s="171">
        <f t="shared" si="172"/>
        <v>55</v>
      </c>
      <c r="M217" s="171">
        <f t="shared" si="172"/>
        <v>55</v>
      </c>
      <c r="N217" s="171">
        <f t="shared" si="172"/>
        <v>0</v>
      </c>
      <c r="O217" s="171">
        <f t="shared" si="172"/>
        <v>0</v>
      </c>
    </row>
    <row r="218" spans="1:15" s="218" customFormat="1" x14ac:dyDescent="0.25">
      <c r="A218" s="218" t="s">
        <v>203</v>
      </c>
      <c r="B218" s="287" t="s">
        <v>25</v>
      </c>
      <c r="C218" s="307">
        <f t="shared" si="171"/>
        <v>2182.7298168242951</v>
      </c>
      <c r="D218" s="327">
        <f>D214-D217</f>
        <v>-267.43794794520539</v>
      </c>
      <c r="E218" s="327">
        <f t="shared" ref="E218" si="173">E214-E217</f>
        <v>-130.90887260273979</v>
      </c>
      <c r="F218" s="327">
        <f t="shared" ref="F218" si="174">F214-F217</f>
        <v>-22.149243424657641</v>
      </c>
      <c r="G218" s="327">
        <f t="shared" ref="G218" si="175">G214-G217</f>
        <v>141.80899905424673</v>
      </c>
      <c r="H218" s="327">
        <f t="shared" ref="H218" si="176">H214-H217</f>
        <v>235.18310462381152</v>
      </c>
      <c r="I218" s="327">
        <f t="shared" ref="I218" si="177">I214-I217</f>
        <v>351.52369812929948</v>
      </c>
      <c r="J218" s="327">
        <f t="shared" ref="J218" si="178">J214-J217</f>
        <v>422.88179553811716</v>
      </c>
      <c r="K218" s="327">
        <f t="shared" ref="K218" si="179">K214-K217</f>
        <v>427.08477145178387</v>
      </c>
      <c r="L218" s="327">
        <f t="shared" ref="L218" si="180">L214-L217</f>
        <v>416.08872416586229</v>
      </c>
      <c r="M218" s="327">
        <f t="shared" ref="M218" si="181">M214-M217</f>
        <v>608.65478783377716</v>
      </c>
      <c r="N218" s="327">
        <f t="shared" ref="N218" si="182">N214-N217</f>
        <v>0</v>
      </c>
      <c r="O218" s="327">
        <f t="shared" ref="O218" si="183">O214-O217</f>
        <v>0</v>
      </c>
    </row>
    <row r="219" spans="1:15" s="17" customFormat="1" x14ac:dyDescent="0.25">
      <c r="A219" s="218"/>
      <c r="B219" s="314"/>
      <c r="C219" s="156"/>
      <c r="D219" s="171"/>
      <c r="E219" s="171"/>
      <c r="F219" s="171"/>
      <c r="G219" s="171"/>
      <c r="H219" s="171"/>
      <c r="I219" s="171"/>
      <c r="J219" s="171"/>
      <c r="K219" s="171"/>
      <c r="L219" s="171"/>
      <c r="M219" s="171"/>
      <c r="N219" s="171"/>
      <c r="O219" s="171"/>
    </row>
    <row r="220" spans="1:15" s="17" customFormat="1" x14ac:dyDescent="0.25">
      <c r="A220" s="109" t="s">
        <v>192</v>
      </c>
      <c r="B220" s="314"/>
      <c r="C220" s="110"/>
      <c r="D220" s="221"/>
      <c r="E220" s="221"/>
      <c r="F220" s="221"/>
      <c r="G220" s="221"/>
      <c r="H220" s="221"/>
      <c r="I220" s="221"/>
      <c r="J220" s="221"/>
      <c r="K220" s="221"/>
      <c r="L220" s="221"/>
      <c r="M220" s="221"/>
      <c r="N220" s="221"/>
      <c r="O220" s="221"/>
    </row>
    <row r="221" spans="1:15" s="41" customFormat="1" x14ac:dyDescent="0.25">
      <c r="A221" s="41" t="s">
        <v>192</v>
      </c>
      <c r="B221" s="287" t="s">
        <v>55</v>
      </c>
      <c r="C221" s="112">
        <f t="shared" ref="C221:O221" si="184">C164/C172</f>
        <v>0.12243806072471017</v>
      </c>
      <c r="D221" s="112">
        <f t="shared" si="184"/>
        <v>0.16947919682578111</v>
      </c>
      <c r="E221" s="112">
        <f t="shared" si="184"/>
        <v>0.1725842292535914</v>
      </c>
      <c r="F221" s="112">
        <f t="shared" si="184"/>
        <v>0.16699920711837882</v>
      </c>
      <c r="G221" s="112">
        <f t="shared" si="184"/>
        <v>0.15159641793278228</v>
      </c>
      <c r="H221" s="112">
        <f t="shared" si="184"/>
        <v>0.12876126792482739</v>
      </c>
      <c r="I221" s="112">
        <f t="shared" si="184"/>
        <v>0.10873694348913159</v>
      </c>
      <c r="J221" s="112">
        <f t="shared" si="184"/>
        <v>0.10028015109687996</v>
      </c>
      <c r="K221" s="112">
        <f t="shared" si="184"/>
        <v>9.9337321267922732E-2</v>
      </c>
      <c r="L221" s="112">
        <f t="shared" si="184"/>
        <v>9.7941478008099894E-2</v>
      </c>
      <c r="M221" s="112">
        <f t="shared" si="184"/>
        <v>0.10294025844853641</v>
      </c>
      <c r="N221" s="112" t="e">
        <f t="shared" si="184"/>
        <v>#DIV/0!</v>
      </c>
      <c r="O221" s="112" t="e">
        <f t="shared" si="184"/>
        <v>#DIV/0!</v>
      </c>
    </row>
    <row r="222" spans="1:15" s="17" customFormat="1" x14ac:dyDescent="0.25">
      <c r="A222" s="218"/>
      <c r="B222" s="314"/>
      <c r="C222" s="110"/>
      <c r="D222" s="221"/>
      <c r="E222" s="221"/>
      <c r="F222" s="221"/>
      <c r="G222" s="221"/>
      <c r="H222" s="221"/>
      <c r="I222" s="221"/>
      <c r="J222" s="221"/>
      <c r="K222" s="221"/>
      <c r="L222" s="221"/>
      <c r="M222" s="221"/>
      <c r="N222" s="221"/>
      <c r="O222" s="221"/>
    </row>
    <row r="223" spans="1:15" s="17" customFormat="1" x14ac:dyDescent="0.25">
      <c r="B223" s="14"/>
      <c r="C223" s="40"/>
      <c r="D223" s="40"/>
      <c r="E223" s="40"/>
      <c r="F223" s="40"/>
      <c r="G223" s="40"/>
      <c r="H223" s="40"/>
      <c r="I223" s="40"/>
      <c r="J223" s="40"/>
      <c r="K223" s="40"/>
      <c r="L223" s="40"/>
      <c r="M223" s="40"/>
      <c r="N223" s="40"/>
      <c r="O223" s="40"/>
    </row>
  </sheetData>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118"/>
  <sheetViews>
    <sheetView zoomScale="60" zoomScaleNormal="60" zoomScalePageLayoutView="50" workbookViewId="0">
      <selection activeCell="R9" sqref="R9"/>
    </sheetView>
  </sheetViews>
  <sheetFormatPr defaultColWidth="8.85546875" defaultRowHeight="15.75" x14ac:dyDescent="0.25"/>
  <cols>
    <col min="1" max="1" width="51.140625" style="8" customWidth="1"/>
    <col min="2" max="2" width="21.85546875" style="14" customWidth="1"/>
    <col min="3" max="3" width="19.7109375" style="1" customWidth="1"/>
    <col min="4" max="15" width="13.85546875" style="4" customWidth="1"/>
    <col min="16" max="16384" width="8.85546875" style="8"/>
  </cols>
  <sheetData>
    <row r="1" spans="1:15" s="33" customFormat="1" ht="30.75" customHeight="1" x14ac:dyDescent="0.25">
      <c r="A1" s="234" t="str">
        <f>'Intro, Audits &amp; Log'!A1</f>
        <v>Business Model of 'Social Enterprise ABC' incl funding and accounting 10 years - Base Case</v>
      </c>
      <c r="B1" s="341"/>
      <c r="C1" s="235"/>
    </row>
    <row r="2" spans="1:15" s="34" customFormat="1" ht="36" x14ac:dyDescent="0.25">
      <c r="A2" s="47" t="s">
        <v>45</v>
      </c>
      <c r="B2" s="29"/>
      <c r="C2" s="7"/>
      <c r="D2" s="33"/>
      <c r="E2" s="33"/>
      <c r="F2" s="33"/>
      <c r="G2" s="33"/>
      <c r="H2" s="33"/>
      <c r="I2" s="33"/>
      <c r="J2" s="33"/>
      <c r="K2" s="33"/>
      <c r="L2" s="33"/>
      <c r="M2" s="33"/>
      <c r="N2" s="33"/>
      <c r="O2" s="33"/>
    </row>
    <row r="3" spans="1:15" ht="17.25" customHeight="1" x14ac:dyDescent="0.3">
      <c r="A3" s="266" t="s">
        <v>351</v>
      </c>
      <c r="C3" s="36"/>
      <c r="H3" s="37"/>
    </row>
    <row r="4" spans="1:15" ht="17.25" customHeight="1" x14ac:dyDescent="0.3">
      <c r="A4" s="266" t="s">
        <v>248</v>
      </c>
      <c r="C4" s="36"/>
    </row>
    <row r="5" spans="1:15" ht="17.25" customHeight="1" x14ac:dyDescent="0.3">
      <c r="A5" s="266" t="s">
        <v>61</v>
      </c>
      <c r="C5" s="36"/>
    </row>
    <row r="6" spans="1:15" ht="17.25" customHeight="1" x14ac:dyDescent="0.3">
      <c r="A6" s="266" t="s">
        <v>208</v>
      </c>
      <c r="C6" s="36"/>
    </row>
    <row r="7" spans="1:15" ht="17.25" customHeight="1" x14ac:dyDescent="0.3">
      <c r="A7" s="266" t="s">
        <v>62</v>
      </c>
      <c r="C7" s="36"/>
    </row>
    <row r="8" spans="1:15" ht="17.25" customHeight="1" x14ac:dyDescent="0.25">
      <c r="A8" s="94"/>
      <c r="C8" s="36"/>
    </row>
    <row r="9" spans="1:15" ht="17.25" customHeight="1" x14ac:dyDescent="0.25">
      <c r="A9" s="94"/>
      <c r="C9" s="36"/>
    </row>
    <row r="10" spans="1:15" ht="17.25" customHeight="1" x14ac:dyDescent="0.25">
      <c r="A10" s="9"/>
      <c r="C10" s="36"/>
    </row>
    <row r="11" spans="1:15" ht="17.25" customHeight="1" x14ac:dyDescent="0.25">
      <c r="A11" s="9"/>
      <c r="C11" s="36"/>
    </row>
    <row r="12" spans="1:15" ht="17.25" customHeight="1" x14ac:dyDescent="0.25">
      <c r="A12" s="9"/>
      <c r="C12" s="36"/>
    </row>
    <row r="13" spans="1:15" ht="17.25" customHeight="1" x14ac:dyDescent="0.25">
      <c r="A13" s="9"/>
      <c r="C13" s="36"/>
    </row>
    <row r="14" spans="1:15" ht="17.25" customHeight="1" x14ac:dyDescent="0.25">
      <c r="A14" s="9"/>
      <c r="C14" s="36"/>
    </row>
    <row r="15" spans="1:15" ht="17.25" customHeight="1" x14ac:dyDescent="0.25">
      <c r="A15" s="9"/>
      <c r="C15" s="36"/>
    </row>
    <row r="16" spans="1:15" ht="17.25" customHeight="1" x14ac:dyDescent="0.25">
      <c r="A16" s="9"/>
      <c r="C16" s="36"/>
    </row>
    <row r="17" spans="1:15" ht="17.25" customHeight="1" x14ac:dyDescent="0.25">
      <c r="A17" s="9"/>
      <c r="C17" s="36"/>
    </row>
    <row r="18" spans="1:15" ht="17.25" customHeight="1" x14ac:dyDescent="0.25">
      <c r="A18" s="9"/>
      <c r="C18" s="36"/>
    </row>
    <row r="19" spans="1:15" s="83" customFormat="1" ht="49.35" customHeight="1" x14ac:dyDescent="0.25">
      <c r="A19" s="212" t="str">
        <f>'Sales&amp;Revenue'!A$52</f>
        <v>Years --&gt;</v>
      </c>
      <c r="B19" s="346" t="str">
        <f>'Sales&amp;Revenue'!B$52</f>
        <v>units</v>
      </c>
      <c r="C19" s="213" t="str">
        <f>'Sales&amp;Revenue'!C$52</f>
        <v>Total</v>
      </c>
      <c r="D19" s="214">
        <f>'Sales&amp;Revenue'!D$52</f>
        <v>2019</v>
      </c>
      <c r="E19" s="214">
        <f>'Sales&amp;Revenue'!E$52</f>
        <v>2020</v>
      </c>
      <c r="F19" s="214">
        <f>'Sales&amp;Revenue'!F$52</f>
        <v>2021</v>
      </c>
      <c r="G19" s="214">
        <f>'Sales&amp;Revenue'!G$52</f>
        <v>2022</v>
      </c>
      <c r="H19" s="214">
        <f>'Sales&amp;Revenue'!H$52</f>
        <v>2023</v>
      </c>
      <c r="I19" s="214">
        <f>'Sales&amp;Revenue'!I$52</f>
        <v>2024</v>
      </c>
      <c r="J19" s="214">
        <f>'Sales&amp;Revenue'!J$52</f>
        <v>2025</v>
      </c>
      <c r="K19" s="214">
        <f>'Sales&amp;Revenue'!K$52</f>
        <v>2026</v>
      </c>
      <c r="L19" s="214">
        <f>'Sales&amp;Revenue'!L$52</f>
        <v>2027</v>
      </c>
      <c r="M19" s="214">
        <f>'Sales&amp;Revenue'!M$52</f>
        <v>2028</v>
      </c>
      <c r="N19" s="214">
        <f>'Sales&amp;Revenue'!N$52</f>
        <v>2029</v>
      </c>
      <c r="O19" s="214">
        <f>'Sales&amp;Revenue'!O$52</f>
        <v>2030</v>
      </c>
    </row>
    <row r="20" spans="1:15" s="34" customFormat="1" ht="53.25" customHeight="1" x14ac:dyDescent="0.25">
      <c r="A20" s="28" t="s">
        <v>8</v>
      </c>
      <c r="B20" s="29"/>
      <c r="C20" s="7"/>
      <c r="D20" s="7"/>
      <c r="E20" s="7"/>
      <c r="F20" s="7"/>
      <c r="G20" s="7"/>
      <c r="H20" s="7"/>
      <c r="I20" s="7"/>
      <c r="J20" s="7"/>
      <c r="K20" s="7"/>
      <c r="L20" s="7"/>
      <c r="M20" s="7"/>
      <c r="N20" s="7"/>
      <c r="O20" s="7"/>
    </row>
    <row r="21" spans="1:15" s="427" customFormat="1" ht="26.25" customHeight="1" x14ac:dyDescent="0.25">
      <c r="A21" s="425" t="s">
        <v>358</v>
      </c>
      <c r="B21" s="426"/>
      <c r="C21" s="300"/>
      <c r="D21" s="300"/>
      <c r="E21" s="300"/>
      <c r="F21" s="300"/>
      <c r="G21" s="300"/>
      <c r="H21" s="300"/>
      <c r="I21" s="300"/>
      <c r="J21" s="300"/>
      <c r="K21" s="300"/>
      <c r="L21" s="300"/>
      <c r="M21" s="300"/>
      <c r="N21" s="300"/>
      <c r="O21" s="300"/>
    </row>
    <row r="22" spans="1:15" s="427" customFormat="1" ht="15" customHeight="1" x14ac:dyDescent="0.25">
      <c r="A22" s="95" t="s">
        <v>357</v>
      </c>
      <c r="B22" s="426"/>
      <c r="C22" s="300"/>
      <c r="D22" s="300"/>
      <c r="E22" s="300"/>
      <c r="F22" s="300"/>
      <c r="G22" s="300"/>
      <c r="H22" s="300"/>
      <c r="I22" s="300"/>
      <c r="J22" s="300"/>
      <c r="K22" s="300"/>
      <c r="L22" s="300"/>
      <c r="M22" s="300"/>
      <c r="N22" s="300"/>
      <c r="O22" s="300"/>
    </row>
    <row r="23" spans="1:15" s="427" customFormat="1" ht="15.75" customHeight="1" x14ac:dyDescent="0.25">
      <c r="A23" s="95" t="s">
        <v>359</v>
      </c>
      <c r="B23" s="426"/>
      <c r="C23" s="300"/>
      <c r="D23" s="300"/>
      <c r="E23" s="300"/>
      <c r="F23" s="300"/>
      <c r="G23" s="300"/>
      <c r="H23" s="300"/>
      <c r="I23" s="300"/>
      <c r="J23" s="300"/>
      <c r="K23" s="300"/>
      <c r="L23" s="300"/>
      <c r="M23" s="300"/>
      <c r="N23" s="300"/>
      <c r="O23" s="300"/>
    </row>
    <row r="25" spans="1:15" x14ac:dyDescent="0.25">
      <c r="A25" s="217" t="str">
        <f>'Sales&amp;Revenue'!A65</f>
        <v>Total ABC units sold</v>
      </c>
      <c r="B25" s="310" t="str">
        <f>'Sales&amp;Revenue'!B65</f>
        <v>units</v>
      </c>
      <c r="C25" s="215">
        <f>'Sales&amp;Revenue'!C65</f>
        <v>735565.2536666526</v>
      </c>
      <c r="D25" s="219">
        <f>'Sales&amp;Revenue'!D65</f>
        <v>40000</v>
      </c>
      <c r="E25" s="219">
        <f>'Sales&amp;Revenue'!E65</f>
        <v>42250</v>
      </c>
      <c r="F25" s="219">
        <f>'Sales&amp;Revenue'!F65</f>
        <v>46475</v>
      </c>
      <c r="G25" s="219">
        <f>'Sales&amp;Revenue'!G65</f>
        <v>55165</v>
      </c>
      <c r="H25" s="219">
        <f>'Sales&amp;Revenue'!H65</f>
        <v>68304.500000000015</v>
      </c>
      <c r="I25" s="219">
        <f>'Sales&amp;Revenue'!I65</f>
        <v>84836.950000000012</v>
      </c>
      <c r="J25" s="219">
        <f>'Sales&amp;Revenue'!J65</f>
        <v>95260.357500000013</v>
      </c>
      <c r="K25" s="219">
        <f>'Sales&amp;Revenue'!K65</f>
        <v>98118.168225000016</v>
      </c>
      <c r="L25" s="219">
        <f>'Sales&amp;Revenue'!L65</f>
        <v>101061.71327175002</v>
      </c>
      <c r="M25" s="219">
        <f>'Sales&amp;Revenue'!M65</f>
        <v>104093.56466990251</v>
      </c>
      <c r="N25" s="219">
        <f>'Sales&amp;Revenue'!N65</f>
        <v>0</v>
      </c>
      <c r="O25" s="219">
        <f>'Sales&amp;Revenue'!O65</f>
        <v>0</v>
      </c>
    </row>
    <row r="27" spans="1:15" s="46" customFormat="1" ht="45" customHeight="1" x14ac:dyDescent="0.25">
      <c r="A27" s="28" t="s">
        <v>210</v>
      </c>
      <c r="B27" s="29"/>
      <c r="C27" s="62"/>
      <c r="D27" s="74"/>
      <c r="E27" s="74"/>
      <c r="F27" s="74"/>
      <c r="G27" s="74"/>
      <c r="H27" s="74"/>
      <c r="I27" s="74"/>
      <c r="J27" s="74"/>
      <c r="K27" s="74"/>
      <c r="L27" s="74"/>
      <c r="M27" s="74"/>
      <c r="N27" s="74"/>
      <c r="O27" s="74"/>
    </row>
    <row r="28" spans="1:15" x14ac:dyDescent="0.25">
      <c r="A28" s="94" t="s">
        <v>209</v>
      </c>
    </row>
    <row r="29" spans="1:15" s="198" customFormat="1" x14ac:dyDescent="0.25">
      <c r="A29" s="81" t="s">
        <v>60</v>
      </c>
      <c r="B29" s="311"/>
      <c r="C29" s="39"/>
      <c r="D29" s="60">
        <v>0.1</v>
      </c>
      <c r="E29" s="60">
        <f t="shared" ref="E29:O29" si="0">D29</f>
        <v>0.1</v>
      </c>
      <c r="F29" s="60">
        <f t="shared" si="0"/>
        <v>0.1</v>
      </c>
      <c r="G29" s="60">
        <f t="shared" si="0"/>
        <v>0.1</v>
      </c>
      <c r="H29" s="60">
        <f t="shared" si="0"/>
        <v>0.1</v>
      </c>
      <c r="I29" s="60">
        <f t="shared" si="0"/>
        <v>0.1</v>
      </c>
      <c r="J29" s="60">
        <f t="shared" si="0"/>
        <v>0.1</v>
      </c>
      <c r="K29" s="60">
        <f t="shared" si="0"/>
        <v>0.1</v>
      </c>
      <c r="L29" s="60">
        <f t="shared" si="0"/>
        <v>0.1</v>
      </c>
      <c r="M29" s="60">
        <f t="shared" si="0"/>
        <v>0.1</v>
      </c>
      <c r="N29" s="60">
        <f t="shared" si="0"/>
        <v>0.1</v>
      </c>
      <c r="O29" s="60">
        <f t="shared" si="0"/>
        <v>0.1</v>
      </c>
    </row>
    <row r="30" spans="1:15" s="198" customFormat="1" x14ac:dyDescent="0.25">
      <c r="A30" s="217" t="str">
        <f>'Capital &amp; Operating Costs'!A$147</f>
        <v>rent</v>
      </c>
      <c r="B30" s="310" t="str">
        <f>'Capital &amp; Operating Costs'!B$147</f>
        <v>US$ 000 Real</v>
      </c>
      <c r="C30" s="215">
        <f>'Capital &amp; Operating Costs'!C$147</f>
        <v>624</v>
      </c>
      <c r="D30" s="219">
        <f>'Capital &amp; Operating Costs'!D$147</f>
        <v>52</v>
      </c>
      <c r="E30" s="219">
        <f>'Capital &amp; Operating Costs'!E$147</f>
        <v>52</v>
      </c>
      <c r="F30" s="219">
        <f>'Capital &amp; Operating Costs'!F$147</f>
        <v>52</v>
      </c>
      <c r="G30" s="219">
        <f>'Capital &amp; Operating Costs'!G$147</f>
        <v>52</v>
      </c>
      <c r="H30" s="219">
        <f>'Capital &amp; Operating Costs'!H$147</f>
        <v>52</v>
      </c>
      <c r="I30" s="219">
        <f>'Capital &amp; Operating Costs'!I$147</f>
        <v>52</v>
      </c>
      <c r="J30" s="219">
        <f>'Capital &amp; Operating Costs'!J$147</f>
        <v>52</v>
      </c>
      <c r="K30" s="219">
        <f>'Capital &amp; Operating Costs'!K$147</f>
        <v>52</v>
      </c>
      <c r="L30" s="219">
        <f>'Capital &amp; Operating Costs'!L$147</f>
        <v>52</v>
      </c>
      <c r="M30" s="219">
        <f>'Capital &amp; Operating Costs'!M$147</f>
        <v>52</v>
      </c>
      <c r="N30" s="219">
        <f>'Capital &amp; Operating Costs'!N$147</f>
        <v>52</v>
      </c>
      <c r="O30" s="219">
        <f>'Capital &amp; Operating Costs'!O$147</f>
        <v>52</v>
      </c>
    </row>
    <row r="31" spans="1:15" s="115" customFormat="1" x14ac:dyDescent="0.25">
      <c r="A31" s="115" t="str">
        <f>A27</f>
        <v>4a.  Withholding Tax ("WHT")</v>
      </c>
      <c r="B31" s="343" t="s">
        <v>24</v>
      </c>
      <c r="C31" s="116">
        <f>SUM(D31:O31)</f>
        <v>52.000000000000007</v>
      </c>
      <c r="D31" s="117">
        <f>IF(D25=0,0,D29*D30)</f>
        <v>5.2</v>
      </c>
      <c r="E31" s="117">
        <f t="shared" ref="E31:O31" si="1">IF(E25=0,0,E29*E30)</f>
        <v>5.2</v>
      </c>
      <c r="F31" s="117">
        <f t="shared" si="1"/>
        <v>5.2</v>
      </c>
      <c r="G31" s="117">
        <f t="shared" si="1"/>
        <v>5.2</v>
      </c>
      <c r="H31" s="117">
        <f t="shared" si="1"/>
        <v>5.2</v>
      </c>
      <c r="I31" s="117">
        <f t="shared" si="1"/>
        <v>5.2</v>
      </c>
      <c r="J31" s="117">
        <f t="shared" si="1"/>
        <v>5.2</v>
      </c>
      <c r="K31" s="117">
        <f t="shared" si="1"/>
        <v>5.2</v>
      </c>
      <c r="L31" s="117">
        <f t="shared" si="1"/>
        <v>5.2</v>
      </c>
      <c r="M31" s="117">
        <f t="shared" si="1"/>
        <v>5.2</v>
      </c>
      <c r="N31" s="117">
        <f t="shared" si="1"/>
        <v>0</v>
      </c>
      <c r="O31" s="117">
        <f t="shared" si="1"/>
        <v>0</v>
      </c>
    </row>
    <row r="32" spans="1:15" s="218" customFormat="1" ht="39.75" customHeight="1" x14ac:dyDescent="0.25">
      <c r="B32" s="14"/>
      <c r="C32" s="206"/>
      <c r="D32" s="206"/>
      <c r="E32" s="206"/>
      <c r="F32" s="206"/>
      <c r="G32" s="206"/>
      <c r="H32" s="206"/>
      <c r="I32" s="206"/>
      <c r="J32" s="206"/>
      <c r="K32" s="206"/>
      <c r="L32" s="206"/>
      <c r="M32" s="206"/>
      <c r="N32" s="206"/>
      <c r="O32" s="241"/>
    </row>
    <row r="33" spans="1:15" s="223" customFormat="1" ht="45" customHeight="1" x14ac:dyDescent="0.25">
      <c r="A33" s="242" t="s">
        <v>211</v>
      </c>
      <c r="B33" s="29"/>
      <c r="C33" s="243"/>
      <c r="D33" s="244"/>
      <c r="E33" s="244"/>
      <c r="F33" s="244"/>
      <c r="G33" s="244"/>
      <c r="H33" s="244"/>
      <c r="I33" s="244"/>
      <c r="J33" s="244"/>
      <c r="K33" s="244"/>
      <c r="L33" s="244"/>
      <c r="M33" s="244"/>
      <c r="N33" s="244"/>
      <c r="O33" s="244"/>
    </row>
    <row r="34" spans="1:15" s="198" customFormat="1" x14ac:dyDescent="0.25">
      <c r="A34" s="43" t="s">
        <v>352</v>
      </c>
      <c r="B34" s="14"/>
      <c r="C34" s="1"/>
      <c r="D34" s="245"/>
      <c r="E34" s="245"/>
      <c r="F34" s="245"/>
      <c r="G34" s="245"/>
      <c r="H34" s="245"/>
      <c r="I34" s="245"/>
      <c r="J34" s="245"/>
      <c r="K34" s="245"/>
      <c r="L34" s="245"/>
      <c r="M34" s="245"/>
      <c r="N34" s="245"/>
      <c r="O34" s="245"/>
    </row>
    <row r="35" spans="1:15" s="198" customFormat="1" x14ac:dyDescent="0.25">
      <c r="A35" s="43" t="s">
        <v>353</v>
      </c>
      <c r="B35" s="14"/>
      <c r="C35" s="1"/>
      <c r="D35" s="245"/>
      <c r="E35" s="245"/>
      <c r="F35" s="245"/>
      <c r="G35" s="245"/>
      <c r="H35" s="245"/>
      <c r="I35" s="245"/>
      <c r="J35" s="245"/>
      <c r="K35" s="245"/>
      <c r="L35" s="245"/>
      <c r="M35" s="245"/>
      <c r="N35" s="245"/>
      <c r="O35" s="245"/>
    </row>
    <row r="36" spans="1:15" s="223" customFormat="1" ht="25.7" customHeight="1" x14ac:dyDescent="0.25">
      <c r="A36" s="114" t="s">
        <v>213</v>
      </c>
      <c r="B36" s="29"/>
      <c r="C36" s="243"/>
      <c r="D36" s="243"/>
      <c r="E36" s="243"/>
      <c r="F36" s="243"/>
      <c r="G36" s="243"/>
      <c r="H36" s="243"/>
      <c r="I36" s="243"/>
      <c r="J36" s="243"/>
      <c r="K36" s="243"/>
      <c r="L36" s="243"/>
      <c r="M36" s="243"/>
      <c r="N36" s="243"/>
      <c r="O36" s="246"/>
    </row>
    <row r="37" spans="1:15" s="198" customFormat="1" x14ac:dyDescent="0.25">
      <c r="A37" s="81" t="s">
        <v>212</v>
      </c>
      <c r="B37" s="311" t="s">
        <v>33</v>
      </c>
      <c r="C37" s="39"/>
      <c r="D37" s="60">
        <v>0.1</v>
      </c>
      <c r="E37" s="60">
        <f t="shared" ref="E37:O37" si="2">D37</f>
        <v>0.1</v>
      </c>
      <c r="F37" s="60">
        <f t="shared" si="2"/>
        <v>0.1</v>
      </c>
      <c r="G37" s="60">
        <f t="shared" si="2"/>
        <v>0.1</v>
      </c>
      <c r="H37" s="60">
        <f t="shared" si="2"/>
        <v>0.1</v>
      </c>
      <c r="I37" s="60">
        <f t="shared" si="2"/>
        <v>0.1</v>
      </c>
      <c r="J37" s="60">
        <f t="shared" si="2"/>
        <v>0.1</v>
      </c>
      <c r="K37" s="60">
        <f t="shared" si="2"/>
        <v>0.1</v>
      </c>
      <c r="L37" s="60">
        <f t="shared" si="2"/>
        <v>0.1</v>
      </c>
      <c r="M37" s="60">
        <f t="shared" si="2"/>
        <v>0.1</v>
      </c>
      <c r="N37" s="60">
        <f t="shared" si="2"/>
        <v>0.1</v>
      </c>
      <c r="O37" s="60">
        <f t="shared" si="2"/>
        <v>0.1</v>
      </c>
    </row>
    <row r="38" spans="1:15" s="238" customFormat="1" x14ac:dyDescent="0.25">
      <c r="A38" s="238" t="s">
        <v>59</v>
      </c>
      <c r="B38" s="342" t="s">
        <v>34</v>
      </c>
      <c r="C38" s="239"/>
      <c r="D38" s="240">
        <f t="shared" ref="D38:O38" si="3">100%-100%/(100%+D37)</f>
        <v>9.0909090909090939E-2</v>
      </c>
      <c r="E38" s="240">
        <f t="shared" si="3"/>
        <v>9.0909090909090939E-2</v>
      </c>
      <c r="F38" s="240">
        <f t="shared" si="3"/>
        <v>9.0909090909090939E-2</v>
      </c>
      <c r="G38" s="240">
        <f t="shared" si="3"/>
        <v>9.0909090909090939E-2</v>
      </c>
      <c r="H38" s="240">
        <f t="shared" si="3"/>
        <v>9.0909090909090939E-2</v>
      </c>
      <c r="I38" s="240">
        <f t="shared" si="3"/>
        <v>9.0909090909090939E-2</v>
      </c>
      <c r="J38" s="240">
        <f t="shared" si="3"/>
        <v>9.0909090909090939E-2</v>
      </c>
      <c r="K38" s="240">
        <f t="shared" si="3"/>
        <v>9.0909090909090939E-2</v>
      </c>
      <c r="L38" s="240">
        <f t="shared" si="3"/>
        <v>9.0909090909090939E-2</v>
      </c>
      <c r="M38" s="240">
        <f t="shared" si="3"/>
        <v>9.0909090909090939E-2</v>
      </c>
      <c r="N38" s="240">
        <f t="shared" si="3"/>
        <v>9.0909090909090939E-2</v>
      </c>
      <c r="O38" s="240">
        <f t="shared" si="3"/>
        <v>9.0909090909090939E-2</v>
      </c>
    </row>
    <row r="39" spans="1:15" s="223" customFormat="1" ht="25.7" customHeight="1" x14ac:dyDescent="0.25">
      <c r="A39" s="114" t="s">
        <v>214</v>
      </c>
      <c r="B39" s="29"/>
      <c r="C39" s="243"/>
      <c r="D39" s="243"/>
      <c r="E39" s="243"/>
      <c r="F39" s="243"/>
      <c r="G39" s="243"/>
      <c r="H39" s="243"/>
      <c r="I39" s="243"/>
      <c r="J39" s="243"/>
      <c r="K39" s="243"/>
      <c r="L39" s="243"/>
      <c r="M39" s="243"/>
      <c r="N39" s="243"/>
      <c r="O39" s="246"/>
    </row>
    <row r="40" spans="1:15" s="198" customFormat="1" x14ac:dyDescent="0.25">
      <c r="A40" s="217" t="str">
        <f>'Sales&amp;Revenue'!A84</f>
        <v>Revenue from ABC units</v>
      </c>
      <c r="B40" s="310" t="str">
        <f>'Sales&amp;Revenue'!B84</f>
        <v>US$ 000  Real</v>
      </c>
      <c r="C40" s="215">
        <f>'Sales&amp;Revenue'!C84</f>
        <v>28767.418847075358</v>
      </c>
      <c r="D40" s="219">
        <f>'Sales&amp;Revenue'!D84</f>
        <v>1770</v>
      </c>
      <c r="E40" s="219">
        <f>'Sales&amp;Revenue'!E84</f>
        <v>1835.54</v>
      </c>
      <c r="F40" s="219">
        <f>'Sales&amp;Revenue'!F84</f>
        <v>1978.7121200000001</v>
      </c>
      <c r="G40" s="219">
        <f>'Sales&amp;Revenue'!G84</f>
        <v>2293.9390258400003</v>
      </c>
      <c r="H40" s="219">
        <f>'Sales&amp;Revenue'!H84</f>
        <v>2759.2283782817608</v>
      </c>
      <c r="I40" s="219">
        <f>'Sales&amp;Revenue'!I84</f>
        <v>3330.2531115073416</v>
      </c>
      <c r="J40" s="219">
        <f>'Sales&amp;Revenue'!J84</f>
        <v>3648.1741866301709</v>
      </c>
      <c r="K40" s="219">
        <f>'Sales&amp;Revenue'!K84</f>
        <v>3682.4670239844936</v>
      </c>
      <c r="L40" s="219">
        <f>'Sales&amp;Revenue'!L84</f>
        <v>3717.0822140099485</v>
      </c>
      <c r="M40" s="219">
        <f>'Sales&amp;Revenue'!M84</f>
        <v>3752.0227868216416</v>
      </c>
      <c r="N40" s="219">
        <f>'Sales&amp;Revenue'!N84</f>
        <v>0</v>
      </c>
      <c r="O40" s="219">
        <f>'Sales&amp;Revenue'!O84</f>
        <v>0</v>
      </c>
    </row>
    <row r="41" spans="1:15" s="237" customFormat="1" x14ac:dyDescent="0.25">
      <c r="A41" s="237" t="str">
        <f>A39</f>
        <v>VAT paid on Revenues</v>
      </c>
      <c r="B41" s="343" t="s">
        <v>24</v>
      </c>
      <c r="C41" s="241">
        <f>SUM(D41:O41)</f>
        <v>2615.2198951886694</v>
      </c>
      <c r="D41" s="247">
        <f t="shared" ref="D41:O41" si="4">D38*D40</f>
        <v>160.90909090909096</v>
      </c>
      <c r="E41" s="247">
        <f t="shared" si="4"/>
        <v>166.86727272727279</v>
      </c>
      <c r="F41" s="247">
        <f>F38*F40</f>
        <v>179.88292000000007</v>
      </c>
      <c r="G41" s="247">
        <f t="shared" si="4"/>
        <v>208.53991144000011</v>
      </c>
      <c r="H41" s="247">
        <f t="shared" si="4"/>
        <v>250.83894348016017</v>
      </c>
      <c r="I41" s="247">
        <f t="shared" si="4"/>
        <v>302.75028286430387</v>
      </c>
      <c r="J41" s="247">
        <f t="shared" si="4"/>
        <v>331.65219878456111</v>
      </c>
      <c r="K41" s="247">
        <f t="shared" si="4"/>
        <v>334.76972945313588</v>
      </c>
      <c r="L41" s="247">
        <f t="shared" si="4"/>
        <v>337.91656490999543</v>
      </c>
      <c r="M41" s="247">
        <f t="shared" si="4"/>
        <v>341.09298062014938</v>
      </c>
      <c r="N41" s="247">
        <f t="shared" si="4"/>
        <v>0</v>
      </c>
      <c r="O41" s="247">
        <f t="shared" si="4"/>
        <v>0</v>
      </c>
    </row>
    <row r="42" spans="1:15" s="218" customFormat="1" x14ac:dyDescent="0.25">
      <c r="A42" s="114" t="s">
        <v>221</v>
      </c>
      <c r="B42" s="14"/>
      <c r="C42" s="206"/>
      <c r="D42" s="206"/>
      <c r="E42" s="206"/>
      <c r="F42" s="206"/>
      <c r="G42" s="206"/>
      <c r="H42" s="206"/>
      <c r="I42" s="206"/>
      <c r="J42" s="206"/>
      <c r="K42" s="206"/>
      <c r="L42" s="206"/>
      <c r="M42" s="206"/>
      <c r="N42" s="206"/>
      <c r="O42" s="241"/>
    </row>
    <row r="43" spans="1:15" s="218" customFormat="1" x14ac:dyDescent="0.25">
      <c r="A43" s="43" t="s">
        <v>354</v>
      </c>
      <c r="B43" s="14"/>
      <c r="C43" s="206"/>
      <c r="D43" s="206"/>
      <c r="E43" s="206"/>
      <c r="F43" s="206"/>
      <c r="G43" s="206"/>
      <c r="H43" s="206"/>
      <c r="I43" s="206"/>
      <c r="J43" s="206"/>
      <c r="K43" s="206"/>
      <c r="L43" s="206"/>
      <c r="M43" s="206"/>
      <c r="N43" s="206"/>
      <c r="O43" s="241"/>
    </row>
    <row r="44" spans="1:15" s="198" customFormat="1" x14ac:dyDescent="0.25">
      <c r="A44" s="217" t="str">
        <f>'Capital &amp; Operating Costs'!A35</f>
        <v>Cashstream 2: Capital Costs (for plant and equipment)</v>
      </c>
      <c r="B44" s="310" t="str">
        <f>'Capital &amp; Operating Costs'!B35</f>
        <v>US$ 000 Real</v>
      </c>
      <c r="C44" s="219">
        <f>'Capital &amp; Operating Costs'!C35</f>
        <v>1150</v>
      </c>
      <c r="D44" s="219">
        <f>'Capital &amp; Operating Costs'!D35</f>
        <v>315</v>
      </c>
      <c r="E44" s="219">
        <f>'Capital &amp; Operating Costs'!E35</f>
        <v>275</v>
      </c>
      <c r="F44" s="219">
        <f>'Capital &amp; Operating Costs'!F35</f>
        <v>175</v>
      </c>
      <c r="G44" s="219">
        <f>'Capital &amp; Operating Costs'!G35</f>
        <v>55</v>
      </c>
      <c r="H44" s="219">
        <f>'Capital &amp; Operating Costs'!H35</f>
        <v>55</v>
      </c>
      <c r="I44" s="219">
        <f>'Capital &amp; Operating Costs'!I35</f>
        <v>55</v>
      </c>
      <c r="J44" s="219">
        <f>'Capital &amp; Operating Costs'!J35</f>
        <v>55</v>
      </c>
      <c r="K44" s="219">
        <f>'Capital &amp; Operating Costs'!K35</f>
        <v>55</v>
      </c>
      <c r="L44" s="219">
        <f>'Capital &amp; Operating Costs'!L35</f>
        <v>55</v>
      </c>
      <c r="M44" s="219">
        <f>'Capital &amp; Operating Costs'!M35</f>
        <v>55</v>
      </c>
      <c r="N44" s="219">
        <f>'Capital &amp; Operating Costs'!N35</f>
        <v>0</v>
      </c>
      <c r="O44" s="219">
        <f>'Capital &amp; Operating Costs'!O35</f>
        <v>0</v>
      </c>
    </row>
    <row r="45" spans="1:15" s="198" customFormat="1" x14ac:dyDescent="0.25">
      <c r="A45" s="217" t="str">
        <f>'Capital &amp; Operating Costs'!A172</f>
        <v>3c.  Total Operating 'Expenses'</v>
      </c>
      <c r="B45" s="310" t="str">
        <f>'Capital &amp; Operating Costs'!B172</f>
        <v>US$ 000 Real</v>
      </c>
      <c r="C45" s="219">
        <f>'Capital &amp; Operating Costs'!C172</f>
        <v>25434.689030251066</v>
      </c>
      <c r="D45" s="219">
        <f>'Capital &amp; Operating Costs'!D172</f>
        <v>1722.4379479452055</v>
      </c>
      <c r="E45" s="219">
        <f>'Capital &amp; Operating Costs'!E172</f>
        <v>1691.4488726027398</v>
      </c>
      <c r="F45" s="219">
        <f>'Capital &amp; Operating Costs'!F172</f>
        <v>1825.8613634246578</v>
      </c>
      <c r="G45" s="219">
        <f>'Capital &amp; Operating Costs'!G172</f>
        <v>2097.1300267857537</v>
      </c>
      <c r="H45" s="219">
        <f>'Capital &amp; Operating Costs'!H172</f>
        <v>2469.0452736579491</v>
      </c>
      <c r="I45" s="219">
        <f>'Capital &amp; Operating Costs'!I172</f>
        <v>2923.729413378042</v>
      </c>
      <c r="J45" s="219">
        <f>'Capital &amp; Operating Costs'!J172</f>
        <v>3170.2923910920535</v>
      </c>
      <c r="K45" s="219">
        <f>'Capital &amp; Operating Costs'!K172</f>
        <v>3200.3822525327096</v>
      </c>
      <c r="L45" s="219">
        <f>'Capital &amp; Operating Costs'!L172</f>
        <v>3245.9934898440861</v>
      </c>
      <c r="M45" s="219">
        <f>'Capital &amp; Operating Costs'!M172</f>
        <v>3088.3679989878642</v>
      </c>
      <c r="N45" s="219">
        <f>'Capital &amp; Operating Costs'!N172</f>
        <v>0</v>
      </c>
      <c r="O45" s="219">
        <f>'Capital &amp; Operating Costs'!O172</f>
        <v>0</v>
      </c>
    </row>
    <row r="46" spans="1:15" s="237" customFormat="1" x14ac:dyDescent="0.25">
      <c r="A46" s="237" t="str">
        <f>A42</f>
        <v>VAT credits received on inputs</v>
      </c>
      <c r="B46" s="343" t="s">
        <v>24</v>
      </c>
      <c r="C46" s="241">
        <f>SUM(D46:O46)</f>
        <v>2416.7899118410064</v>
      </c>
      <c r="D46" s="247">
        <f t="shared" ref="D46:O46" si="5">D38*(D44+D45)</f>
        <v>185.22163163138237</v>
      </c>
      <c r="E46" s="247">
        <f t="shared" si="5"/>
        <v>178.76807932752186</v>
      </c>
      <c r="F46" s="247">
        <f t="shared" si="5"/>
        <v>181.89648758405986</v>
      </c>
      <c r="G46" s="247">
        <f t="shared" si="5"/>
        <v>195.64818425325041</v>
      </c>
      <c r="H46" s="247">
        <f t="shared" si="5"/>
        <v>229.4586612416318</v>
      </c>
      <c r="I46" s="247">
        <f t="shared" si="5"/>
        <v>270.79358303436754</v>
      </c>
      <c r="J46" s="247">
        <f t="shared" si="5"/>
        <v>293.20839919018681</v>
      </c>
      <c r="K46" s="247">
        <f t="shared" si="5"/>
        <v>295.94384113933734</v>
      </c>
      <c r="L46" s="247">
        <f t="shared" si="5"/>
        <v>300.0903172585534</v>
      </c>
      <c r="M46" s="247">
        <f t="shared" si="5"/>
        <v>285.76072718071504</v>
      </c>
      <c r="N46" s="247">
        <f t="shared" si="5"/>
        <v>0</v>
      </c>
      <c r="O46" s="247">
        <f t="shared" si="5"/>
        <v>0</v>
      </c>
    </row>
    <row r="47" spans="1:15" s="223" customFormat="1" ht="25.7" customHeight="1" x14ac:dyDescent="0.25">
      <c r="A47" s="114" t="s">
        <v>276</v>
      </c>
      <c r="B47" s="29"/>
      <c r="C47" s="243"/>
      <c r="D47" s="243"/>
      <c r="E47" s="243"/>
      <c r="F47" s="243"/>
      <c r="G47" s="243"/>
      <c r="H47" s="243"/>
      <c r="I47" s="243"/>
      <c r="J47" s="243"/>
      <c r="K47" s="243"/>
      <c r="L47" s="243"/>
      <c r="M47" s="243"/>
      <c r="N47" s="243"/>
      <c r="O47" s="246"/>
    </row>
    <row r="48" spans="1:15" s="41" customFormat="1" x14ac:dyDescent="0.25">
      <c r="A48" s="41" t="s">
        <v>423</v>
      </c>
      <c r="B48" s="343" t="s">
        <v>24</v>
      </c>
      <c r="C48" s="39">
        <f>SUM(D48:O48)</f>
        <v>198.42998334766335</v>
      </c>
      <c r="D48" s="354">
        <f t="shared" ref="D48:O48" si="6">D41-D46</f>
        <v>-24.312540722291402</v>
      </c>
      <c r="E48" s="354">
        <f t="shared" si="6"/>
        <v>-11.900806600249069</v>
      </c>
      <c r="F48" s="354">
        <f t="shared" si="6"/>
        <v>-2.0135675840597855</v>
      </c>
      <c r="G48" s="354">
        <f t="shared" si="6"/>
        <v>12.891727186749705</v>
      </c>
      <c r="H48" s="354">
        <f t="shared" si="6"/>
        <v>21.380282238528366</v>
      </c>
      <c r="I48" s="354">
        <f t="shared" si="6"/>
        <v>31.956699829936326</v>
      </c>
      <c r="J48" s="354">
        <f t="shared" si="6"/>
        <v>38.443799594374298</v>
      </c>
      <c r="K48" s="354">
        <f t="shared" si="6"/>
        <v>38.825888313798544</v>
      </c>
      <c r="L48" s="354">
        <f t="shared" si="6"/>
        <v>37.826247651442031</v>
      </c>
      <c r="M48" s="354">
        <f t="shared" si="6"/>
        <v>55.332253439434339</v>
      </c>
      <c r="N48" s="354">
        <f t="shared" si="6"/>
        <v>0</v>
      </c>
      <c r="O48" s="354">
        <f t="shared" si="6"/>
        <v>0</v>
      </c>
    </row>
    <row r="49" spans="1:15" s="17" customFormat="1" ht="45.6" customHeight="1" x14ac:dyDescent="0.25">
      <c r="B49" s="14"/>
      <c r="C49" s="40"/>
      <c r="D49" s="44"/>
      <c r="E49" s="44"/>
      <c r="F49" s="44"/>
      <c r="G49" s="44"/>
      <c r="H49" s="44"/>
      <c r="I49" s="44"/>
      <c r="J49" s="44"/>
      <c r="K49" s="44"/>
      <c r="L49" s="44"/>
      <c r="M49" s="44"/>
      <c r="N49" s="44"/>
      <c r="O49" s="44"/>
    </row>
    <row r="50" spans="1:15" s="46" customFormat="1" ht="43.7" customHeight="1" x14ac:dyDescent="0.25">
      <c r="A50" s="28" t="s">
        <v>222</v>
      </c>
      <c r="B50" s="29"/>
      <c r="C50" s="62"/>
      <c r="D50" s="62"/>
      <c r="E50" s="62"/>
      <c r="F50" s="62"/>
      <c r="G50" s="62"/>
      <c r="H50" s="62"/>
      <c r="I50" s="62"/>
      <c r="J50" s="62"/>
      <c r="K50" s="62"/>
      <c r="L50" s="62"/>
      <c r="M50" s="62"/>
      <c r="N50" s="62"/>
      <c r="O50" s="88"/>
    </row>
    <row r="51" spans="1:15" x14ac:dyDescent="0.25">
      <c r="A51" s="94" t="s">
        <v>360</v>
      </c>
      <c r="B51" s="29"/>
    </row>
    <row r="52" spans="1:15" x14ac:dyDescent="0.25">
      <c r="A52" s="94" t="s">
        <v>355</v>
      </c>
      <c r="B52" s="29"/>
    </row>
    <row r="53" spans="1:15" x14ac:dyDescent="0.25">
      <c r="A53" s="217" t="str">
        <f>'Sales&amp;Revenue'!A108</f>
        <v>Total Revenue</v>
      </c>
      <c r="B53" s="310" t="str">
        <f>'Sales&amp;Revenue'!B108</f>
        <v>US$ 000  Real (incl VAT)</v>
      </c>
      <c r="C53" s="215">
        <f>'Sales&amp;Revenue'!C108</f>
        <v>31272.727211008638</v>
      </c>
      <c r="D53" s="219">
        <f>'Sales&amp;Revenue'!D108</f>
        <v>1850</v>
      </c>
      <c r="E53" s="219">
        <f>'Sales&amp;Revenue'!E108</f>
        <v>1926.3775000000001</v>
      </c>
      <c r="F53" s="219">
        <f>'Sales&amp;Revenue'!F108</f>
        <v>2085.6046200000001</v>
      </c>
      <c r="G53" s="219">
        <f>'Sales&amp;Revenue'!G108</f>
        <v>2445.6427758400005</v>
      </c>
      <c r="H53" s="219">
        <f>'Sales&amp;Revenue'!H108</f>
        <v>2998.2941282817605</v>
      </c>
      <c r="I53" s="219">
        <f>'Sales&amp;Revenue'!I108</f>
        <v>3652.6335215073418</v>
      </c>
      <c r="J53" s="219">
        <f>'Sales&amp;Revenue'!J108</f>
        <v>4010.1635451301709</v>
      </c>
      <c r="K53" s="219">
        <f>'Sales&amp;Revenue'!K108</f>
        <v>4055.3160632394938</v>
      </c>
      <c r="L53" s="219">
        <f>'Sales&amp;Revenue'!L108</f>
        <v>4101.1167244425988</v>
      </c>
      <c r="M53" s="219">
        <f>'Sales&amp;Revenue'!M108</f>
        <v>4147.578332567271</v>
      </c>
      <c r="N53" s="219">
        <f>'Sales&amp;Revenue'!N108</f>
        <v>0</v>
      </c>
      <c r="O53" s="219">
        <f>'Sales&amp;Revenue'!O108</f>
        <v>0</v>
      </c>
    </row>
    <row r="54" spans="1:15" x14ac:dyDescent="0.25">
      <c r="A54" s="82" t="str">
        <f>A41</f>
        <v>VAT paid on Revenues</v>
      </c>
      <c r="B54" s="312" t="str">
        <f>B41</f>
        <v>US$ 000  Real</v>
      </c>
      <c r="C54" s="39">
        <f>SUM(D54:O54)</f>
        <v>2615.2198951886694</v>
      </c>
      <c r="D54" s="172">
        <f t="shared" ref="D54:O54" si="7">D41</f>
        <v>160.90909090909096</v>
      </c>
      <c r="E54" s="172">
        <f t="shared" si="7"/>
        <v>166.86727272727279</v>
      </c>
      <c r="F54" s="172">
        <f t="shared" si="7"/>
        <v>179.88292000000007</v>
      </c>
      <c r="G54" s="172">
        <f t="shared" si="7"/>
        <v>208.53991144000011</v>
      </c>
      <c r="H54" s="172">
        <f t="shared" si="7"/>
        <v>250.83894348016017</v>
      </c>
      <c r="I54" s="172">
        <f t="shared" si="7"/>
        <v>302.75028286430387</v>
      </c>
      <c r="J54" s="172">
        <f t="shared" si="7"/>
        <v>331.65219878456111</v>
      </c>
      <c r="K54" s="172">
        <f t="shared" si="7"/>
        <v>334.76972945313588</v>
      </c>
      <c r="L54" s="172">
        <f t="shared" si="7"/>
        <v>337.91656490999543</v>
      </c>
      <c r="M54" s="172">
        <f t="shared" si="7"/>
        <v>341.09298062014938</v>
      </c>
      <c r="N54" s="172">
        <f t="shared" si="7"/>
        <v>0</v>
      </c>
      <c r="O54" s="172">
        <f t="shared" si="7"/>
        <v>0</v>
      </c>
    </row>
    <row r="55" spans="1:15" x14ac:dyDescent="0.25">
      <c r="A55" s="81" t="s">
        <v>37</v>
      </c>
      <c r="B55" s="311" t="s">
        <v>38</v>
      </c>
      <c r="C55" s="39"/>
      <c r="D55" s="60">
        <v>0.01</v>
      </c>
      <c r="E55" s="60">
        <f t="shared" ref="E55:O55" si="8">D55</f>
        <v>0.01</v>
      </c>
      <c r="F55" s="60">
        <f t="shared" si="8"/>
        <v>0.01</v>
      </c>
      <c r="G55" s="60">
        <f t="shared" si="8"/>
        <v>0.01</v>
      </c>
      <c r="H55" s="60">
        <f t="shared" si="8"/>
        <v>0.01</v>
      </c>
      <c r="I55" s="60">
        <f t="shared" si="8"/>
        <v>0.01</v>
      </c>
      <c r="J55" s="60">
        <f t="shared" si="8"/>
        <v>0.01</v>
      </c>
      <c r="K55" s="60">
        <f t="shared" si="8"/>
        <v>0.01</v>
      </c>
      <c r="L55" s="60">
        <f t="shared" si="8"/>
        <v>0.01</v>
      </c>
      <c r="M55" s="60">
        <f t="shared" si="8"/>
        <v>0.01</v>
      </c>
      <c r="N55" s="60">
        <f t="shared" si="8"/>
        <v>0.01</v>
      </c>
      <c r="O55" s="60">
        <f t="shared" si="8"/>
        <v>0.01</v>
      </c>
    </row>
    <row r="56" spans="1:15" s="41" customFormat="1" x14ac:dyDescent="0.25">
      <c r="A56" s="41" t="str">
        <f>A50</f>
        <v>4c.  Minimum Tax</v>
      </c>
      <c r="B56" s="343" t="s">
        <v>24</v>
      </c>
      <c r="C56" s="39"/>
      <c r="D56" s="117">
        <f>(D53-D54)*D55</f>
        <v>16.890909090909091</v>
      </c>
      <c r="E56" s="117">
        <f t="shared" ref="E56:O56" si="9">(E53-E54)*E55</f>
        <v>17.595102272727271</v>
      </c>
      <c r="F56" s="117">
        <f t="shared" si="9"/>
        <v>19.057217000000001</v>
      </c>
      <c r="G56" s="117">
        <f t="shared" si="9"/>
        <v>22.371028644000003</v>
      </c>
      <c r="H56" s="117">
        <f t="shared" si="9"/>
        <v>27.474551848016006</v>
      </c>
      <c r="I56" s="117">
        <f t="shared" si="9"/>
        <v>33.498832386430379</v>
      </c>
      <c r="J56" s="117">
        <f t="shared" si="9"/>
        <v>36.785113463456099</v>
      </c>
      <c r="K56" s="117">
        <f t="shared" si="9"/>
        <v>37.205463337863584</v>
      </c>
      <c r="L56" s="117">
        <f t="shared" si="9"/>
        <v>37.632001595326031</v>
      </c>
      <c r="M56" s="117">
        <f t="shared" si="9"/>
        <v>38.064853519471221</v>
      </c>
      <c r="N56" s="117">
        <f t="shared" si="9"/>
        <v>0</v>
      </c>
      <c r="O56" s="117">
        <f t="shared" si="9"/>
        <v>0</v>
      </c>
    </row>
    <row r="57" spans="1:15" s="17" customFormat="1" ht="22.5" customHeight="1" x14ac:dyDescent="0.25">
      <c r="B57" s="14"/>
      <c r="C57" s="40"/>
      <c r="D57" s="44"/>
      <c r="E57" s="44"/>
      <c r="F57" s="44"/>
      <c r="G57" s="44"/>
      <c r="H57" s="44"/>
      <c r="I57" s="44"/>
      <c r="J57" s="44"/>
      <c r="K57" s="44"/>
      <c r="L57" s="44"/>
      <c r="M57" s="44"/>
      <c r="N57" s="44"/>
      <c r="O57" s="44"/>
    </row>
    <row r="58" spans="1:15" s="46" customFormat="1" ht="43.7" customHeight="1" x14ac:dyDescent="0.25">
      <c r="A58" s="28" t="s">
        <v>269</v>
      </c>
      <c r="B58" s="29"/>
      <c r="C58" s="62"/>
      <c r="D58" s="62"/>
      <c r="E58" s="62"/>
      <c r="F58" s="62"/>
      <c r="G58" s="62"/>
      <c r="H58" s="62"/>
      <c r="I58" s="62"/>
      <c r="J58" s="62"/>
      <c r="K58" s="62"/>
      <c r="L58" s="62"/>
      <c r="M58" s="62"/>
      <c r="N58" s="62"/>
      <c r="O58" s="88"/>
    </row>
    <row r="59" spans="1:15" x14ac:dyDescent="0.25">
      <c r="A59" s="94" t="s">
        <v>361</v>
      </c>
      <c r="B59" s="29"/>
    </row>
    <row r="60" spans="1:15" s="120" customFormat="1" x14ac:dyDescent="0.25">
      <c r="A60" s="94" t="s">
        <v>223</v>
      </c>
      <c r="B60" s="29"/>
      <c r="C60" s="1"/>
      <c r="D60" s="4"/>
      <c r="E60" s="4"/>
      <c r="F60" s="4"/>
      <c r="G60" s="4"/>
      <c r="H60" s="4"/>
      <c r="I60" s="4"/>
      <c r="J60" s="4"/>
      <c r="K60" s="4"/>
      <c r="L60" s="4"/>
      <c r="M60" s="4"/>
      <c r="N60" s="4"/>
      <c r="O60" s="4"/>
    </row>
    <row r="61" spans="1:15" x14ac:dyDescent="0.25">
      <c r="A61" s="43" t="s">
        <v>362</v>
      </c>
      <c r="B61" s="29"/>
    </row>
    <row r="62" spans="1:15" s="17" customFormat="1" x14ac:dyDescent="0.25">
      <c r="A62" s="43"/>
      <c r="B62" s="14"/>
      <c r="C62" s="40"/>
      <c r="D62" s="40"/>
      <c r="E62" s="40"/>
      <c r="F62" s="40"/>
      <c r="G62" s="40"/>
      <c r="H62" s="40"/>
      <c r="I62" s="40"/>
      <c r="J62" s="40"/>
      <c r="K62" s="40"/>
      <c r="L62" s="40"/>
      <c r="M62" s="40"/>
      <c r="N62" s="40"/>
      <c r="O62" s="40"/>
    </row>
    <row r="63" spans="1:15" x14ac:dyDescent="0.25">
      <c r="A63" s="217" t="str">
        <f>'Sales&amp;Revenue'!A108</f>
        <v>Total Revenue</v>
      </c>
      <c r="B63" s="310" t="str">
        <f>'Sales&amp;Revenue'!B108</f>
        <v>US$ 000  Real (incl VAT)</v>
      </c>
      <c r="C63" s="215">
        <f>'Sales&amp;Revenue'!C108</f>
        <v>31272.727211008638</v>
      </c>
      <c r="D63" s="219">
        <f>'Sales&amp;Revenue'!D108</f>
        <v>1850</v>
      </c>
      <c r="E63" s="219">
        <f>'Sales&amp;Revenue'!E108</f>
        <v>1926.3775000000001</v>
      </c>
      <c r="F63" s="219">
        <f>'Sales&amp;Revenue'!F108</f>
        <v>2085.6046200000001</v>
      </c>
      <c r="G63" s="219">
        <f>'Sales&amp;Revenue'!G108</f>
        <v>2445.6427758400005</v>
      </c>
      <c r="H63" s="219">
        <f>'Sales&amp;Revenue'!H108</f>
        <v>2998.2941282817605</v>
      </c>
      <c r="I63" s="219">
        <f>'Sales&amp;Revenue'!I108</f>
        <v>3652.6335215073418</v>
      </c>
      <c r="J63" s="219">
        <f>'Sales&amp;Revenue'!J108</f>
        <v>4010.1635451301709</v>
      </c>
      <c r="K63" s="219">
        <f>'Sales&amp;Revenue'!K108</f>
        <v>4055.3160632394938</v>
      </c>
      <c r="L63" s="219">
        <f>'Sales&amp;Revenue'!L108</f>
        <v>4101.1167244425988</v>
      </c>
      <c r="M63" s="219">
        <f>'Sales&amp;Revenue'!M108</f>
        <v>4147.578332567271</v>
      </c>
      <c r="N63" s="219">
        <f>'Sales&amp;Revenue'!N108</f>
        <v>0</v>
      </c>
      <c r="O63" s="219">
        <f>'Sales&amp;Revenue'!O108</f>
        <v>0</v>
      </c>
    </row>
    <row r="64" spans="1:15" s="17" customFormat="1" ht="18.600000000000001" customHeight="1" x14ac:dyDescent="0.35">
      <c r="A64" s="95" t="s">
        <v>363</v>
      </c>
      <c r="B64" s="287"/>
      <c r="C64" s="68"/>
      <c r="D64" s="40"/>
      <c r="E64" s="40"/>
      <c r="F64" s="40"/>
      <c r="G64" s="40"/>
      <c r="H64" s="40"/>
      <c r="I64" s="40"/>
      <c r="J64" s="40"/>
      <c r="K64" s="40"/>
      <c r="L64" s="40"/>
      <c r="M64" s="40"/>
      <c r="N64" s="40"/>
      <c r="O64" s="40"/>
    </row>
    <row r="65" spans="1:15" x14ac:dyDescent="0.25">
      <c r="A65" s="217" t="str">
        <f>'Capital &amp; Operating Costs'!A172</f>
        <v>3c.  Total Operating 'Expenses'</v>
      </c>
      <c r="B65" s="310" t="str">
        <f>'Capital &amp; Operating Costs'!B172</f>
        <v>US$ 000 Real</v>
      </c>
      <c r="C65" s="215">
        <f>'Capital &amp; Operating Costs'!C172</f>
        <v>25434.689030251066</v>
      </c>
      <c r="D65" s="219">
        <f>'Capital &amp; Operating Costs'!D172</f>
        <v>1722.4379479452055</v>
      </c>
      <c r="E65" s="219">
        <f>'Capital &amp; Operating Costs'!E172</f>
        <v>1691.4488726027398</v>
      </c>
      <c r="F65" s="219">
        <f>'Capital &amp; Operating Costs'!F172</f>
        <v>1825.8613634246578</v>
      </c>
      <c r="G65" s="219">
        <f>'Capital &amp; Operating Costs'!G172</f>
        <v>2097.1300267857537</v>
      </c>
      <c r="H65" s="219">
        <f>'Capital &amp; Operating Costs'!H172</f>
        <v>2469.0452736579491</v>
      </c>
      <c r="I65" s="219">
        <f>'Capital &amp; Operating Costs'!I172</f>
        <v>2923.729413378042</v>
      </c>
      <c r="J65" s="219">
        <f>'Capital &amp; Operating Costs'!J172</f>
        <v>3170.2923910920535</v>
      </c>
      <c r="K65" s="219">
        <f>'Capital &amp; Operating Costs'!K172</f>
        <v>3200.3822525327096</v>
      </c>
      <c r="L65" s="219">
        <f>'Capital &amp; Operating Costs'!L172</f>
        <v>3245.9934898440861</v>
      </c>
      <c r="M65" s="219">
        <f>'Capital &amp; Operating Costs'!M172</f>
        <v>3088.3679989878642</v>
      </c>
      <c r="N65" s="219">
        <f>'Capital &amp; Operating Costs'!N172</f>
        <v>0</v>
      </c>
      <c r="O65" s="219">
        <f>'Capital &amp; Operating Costs'!O172</f>
        <v>0</v>
      </c>
    </row>
    <row r="66" spans="1:15" x14ac:dyDescent="0.25">
      <c r="A66" s="82" t="str">
        <f>A31</f>
        <v>4a.  Withholding Tax ("WHT")</v>
      </c>
      <c r="B66" s="312" t="str">
        <f>B31</f>
        <v>US$ 000  Real</v>
      </c>
      <c r="C66" s="39">
        <f t="shared" ref="C66:C69" si="10">SUM(D66:O66)</f>
        <v>52.000000000000007</v>
      </c>
      <c r="D66" s="172">
        <f t="shared" ref="D66:O66" si="11">D31</f>
        <v>5.2</v>
      </c>
      <c r="E66" s="172">
        <f t="shared" si="11"/>
        <v>5.2</v>
      </c>
      <c r="F66" s="172">
        <f t="shared" si="11"/>
        <v>5.2</v>
      </c>
      <c r="G66" s="172">
        <f t="shared" si="11"/>
        <v>5.2</v>
      </c>
      <c r="H66" s="172">
        <f t="shared" si="11"/>
        <v>5.2</v>
      </c>
      <c r="I66" s="172">
        <f t="shared" si="11"/>
        <v>5.2</v>
      </c>
      <c r="J66" s="172">
        <f t="shared" si="11"/>
        <v>5.2</v>
      </c>
      <c r="K66" s="172">
        <f t="shared" si="11"/>
        <v>5.2</v>
      </c>
      <c r="L66" s="172">
        <f t="shared" si="11"/>
        <v>5.2</v>
      </c>
      <c r="M66" s="172">
        <f t="shared" si="11"/>
        <v>5.2</v>
      </c>
      <c r="N66" s="172">
        <f t="shared" si="11"/>
        <v>0</v>
      </c>
      <c r="O66" s="172">
        <f t="shared" si="11"/>
        <v>0</v>
      </c>
    </row>
    <row r="67" spans="1:15" x14ac:dyDescent="0.25">
      <c r="A67" s="82" t="str">
        <f>A48</f>
        <v>4b.  VAT - net paid/(net refunded)</v>
      </c>
      <c r="B67" s="312" t="str">
        <f>B48</f>
        <v>US$ 000  Real</v>
      </c>
      <c r="C67" s="428">
        <f t="shared" si="10"/>
        <v>198.42998334766335</v>
      </c>
      <c r="D67" s="172">
        <f t="shared" ref="D67:O67" si="12">D48</f>
        <v>-24.312540722291402</v>
      </c>
      <c r="E67" s="172">
        <f t="shared" si="12"/>
        <v>-11.900806600249069</v>
      </c>
      <c r="F67" s="172">
        <f t="shared" si="12"/>
        <v>-2.0135675840597855</v>
      </c>
      <c r="G67" s="172">
        <f t="shared" si="12"/>
        <v>12.891727186749705</v>
      </c>
      <c r="H67" s="172">
        <f t="shared" si="12"/>
        <v>21.380282238528366</v>
      </c>
      <c r="I67" s="172">
        <f t="shared" si="12"/>
        <v>31.956699829936326</v>
      </c>
      <c r="J67" s="172">
        <f t="shared" si="12"/>
        <v>38.443799594374298</v>
      </c>
      <c r="K67" s="172">
        <f t="shared" si="12"/>
        <v>38.825888313798544</v>
      </c>
      <c r="L67" s="172">
        <f t="shared" si="12"/>
        <v>37.826247651442031</v>
      </c>
      <c r="M67" s="172">
        <f t="shared" si="12"/>
        <v>55.332253439434339</v>
      </c>
      <c r="N67" s="172">
        <f t="shared" si="12"/>
        <v>0</v>
      </c>
      <c r="O67" s="172">
        <f t="shared" si="12"/>
        <v>0</v>
      </c>
    </row>
    <row r="68" spans="1:15" x14ac:dyDescent="0.25">
      <c r="A68" s="217" t="str">
        <f>'Capital &amp; Operating Costs'!A57</f>
        <v>Tax deductions  ('tax depreciation')</v>
      </c>
      <c r="B68" s="310" t="str">
        <f>'Capital &amp; Operating Costs'!B57</f>
        <v>US$ 000 Real</v>
      </c>
      <c r="C68" s="215">
        <f>'Capital &amp; Operating Costs'!C57</f>
        <v>965.87778281292219</v>
      </c>
      <c r="D68" s="219">
        <f>'Capital &amp; Operating Costs'!D57</f>
        <v>72.449999999999989</v>
      </c>
      <c r="E68" s="219">
        <f>'Capital &amp; Operating Costs'!E57</f>
        <v>114.90416666666665</v>
      </c>
      <c r="F68" s="219">
        <f>'Capital &amp; Operating Costs'!F57</f>
        <v>122.17241512345677</v>
      </c>
      <c r="G68" s="219">
        <f>'Capital &amp; Operating Costs'!G57</f>
        <v>99.754407078760821</v>
      </c>
      <c r="H68" s="219">
        <f>'Capital &amp; Operating Costs'!H57</f>
        <v>83.771197639486886</v>
      </c>
      <c r="I68" s="219">
        <f>'Capital &amp; Operating Costs'!I57</f>
        <v>72.375761280004539</v>
      </c>
      <c r="J68" s="219">
        <f>'Capital &amp; Operating Costs'!J57</f>
        <v>64.251237208892107</v>
      </c>
      <c r="K68" s="219">
        <f>'Capital &amp; Operating Costs'!K57</f>
        <v>58.458752454487893</v>
      </c>
      <c r="L68" s="219">
        <f>'Capital &amp; Operating Costs'!L57</f>
        <v>54.328925361070063</v>
      </c>
      <c r="M68" s="219">
        <f>'Capital &amp; Operating Costs'!M57</f>
        <v>223.41092000009641</v>
      </c>
      <c r="N68" s="219">
        <f>'Capital &amp; Operating Costs'!N57</f>
        <v>0</v>
      </c>
      <c r="O68" s="219">
        <f>'Capital &amp; Operating Costs'!O57</f>
        <v>0</v>
      </c>
    </row>
    <row r="69" spans="1:15" x14ac:dyDescent="0.25">
      <c r="A69" s="82" t="s">
        <v>35</v>
      </c>
      <c r="B69" s="314" t="s">
        <v>24</v>
      </c>
      <c r="C69" s="39">
        <f t="shared" si="10"/>
        <v>4621.730414596992</v>
      </c>
      <c r="D69" s="352">
        <f>D63-SUM(D65:D68)</f>
        <v>74.224592777085945</v>
      </c>
      <c r="E69" s="352">
        <f t="shared" ref="E69:O69" si="13">E63-SUM(E65:E68)</f>
        <v>126.7252673308426</v>
      </c>
      <c r="F69" s="352">
        <f t="shared" si="13"/>
        <v>134.38440903594505</v>
      </c>
      <c r="G69" s="352">
        <f>G63-SUM(G65:G68)</f>
        <v>230.6666147887363</v>
      </c>
      <c r="H69" s="352">
        <f t="shared" si="13"/>
        <v>418.8973747457967</v>
      </c>
      <c r="I69" s="352">
        <f t="shared" si="13"/>
        <v>619.37164701935899</v>
      </c>
      <c r="J69" s="352">
        <f t="shared" si="13"/>
        <v>731.97611723485079</v>
      </c>
      <c r="K69" s="352">
        <f t="shared" si="13"/>
        <v>752.44916993849802</v>
      </c>
      <c r="L69" s="352">
        <f t="shared" si="13"/>
        <v>757.76806158600084</v>
      </c>
      <c r="M69" s="352">
        <f t="shared" si="13"/>
        <v>775.26716013987652</v>
      </c>
      <c r="N69" s="352">
        <f t="shared" si="13"/>
        <v>0</v>
      </c>
      <c r="O69" s="352">
        <f t="shared" si="13"/>
        <v>0</v>
      </c>
    </row>
    <row r="70" spans="1:15" ht="16.5" thickBot="1" x14ac:dyDescent="0.3">
      <c r="A70" s="82"/>
      <c r="C70" s="39"/>
      <c r="D70" s="172"/>
      <c r="E70" s="172"/>
      <c r="F70" s="172"/>
      <c r="G70" s="172"/>
      <c r="H70" s="172"/>
      <c r="I70" s="172"/>
      <c r="J70" s="172"/>
      <c r="K70" s="172"/>
      <c r="L70" s="172"/>
      <c r="M70" s="172"/>
      <c r="N70" s="172"/>
      <c r="O70" s="172"/>
    </row>
    <row r="71" spans="1:15" ht="16.5" thickBot="1" x14ac:dyDescent="0.3">
      <c r="A71" s="208" t="s">
        <v>364</v>
      </c>
      <c r="B71" s="314" t="s">
        <v>24</v>
      </c>
      <c r="C71" s="39"/>
      <c r="D71" s="353">
        <v>0</v>
      </c>
      <c r="E71" s="172">
        <f>D74</f>
        <v>0</v>
      </c>
      <c r="F71" s="172">
        <f t="shared" ref="F71:O71" si="14">E74</f>
        <v>0</v>
      </c>
      <c r="G71" s="172">
        <f t="shared" si="14"/>
        <v>0</v>
      </c>
      <c r="H71" s="172">
        <f t="shared" si="14"/>
        <v>0</v>
      </c>
      <c r="I71" s="172">
        <f t="shared" si="14"/>
        <v>0</v>
      </c>
      <c r="J71" s="172">
        <f t="shared" si="14"/>
        <v>0</v>
      </c>
      <c r="K71" s="172">
        <f t="shared" si="14"/>
        <v>0</v>
      </c>
      <c r="L71" s="172">
        <f t="shared" si="14"/>
        <v>0</v>
      </c>
      <c r="M71" s="172">
        <f t="shared" si="14"/>
        <v>0</v>
      </c>
      <c r="N71" s="172">
        <f t="shared" si="14"/>
        <v>0</v>
      </c>
      <c r="O71" s="172">
        <f t="shared" si="14"/>
        <v>0</v>
      </c>
    </row>
    <row r="72" spans="1:15" x14ac:dyDescent="0.25">
      <c r="A72" s="82" t="s">
        <v>36</v>
      </c>
      <c r="B72" s="314" t="s">
        <v>24</v>
      </c>
      <c r="C72" s="39"/>
      <c r="D72" s="172">
        <f>D71+D69</f>
        <v>74.224592777085945</v>
      </c>
      <c r="E72" s="172">
        <f>E71+E69</f>
        <v>126.7252673308426</v>
      </c>
      <c r="F72" s="172">
        <f t="shared" ref="F72:O72" si="15">F71+F69</f>
        <v>134.38440903594505</v>
      </c>
      <c r="G72" s="172">
        <f t="shared" si="15"/>
        <v>230.6666147887363</v>
      </c>
      <c r="H72" s="172">
        <f t="shared" si="15"/>
        <v>418.8973747457967</v>
      </c>
      <c r="I72" s="172">
        <f t="shared" si="15"/>
        <v>619.37164701935899</v>
      </c>
      <c r="J72" s="172">
        <f t="shared" si="15"/>
        <v>731.97611723485079</v>
      </c>
      <c r="K72" s="172">
        <f t="shared" si="15"/>
        <v>752.44916993849802</v>
      </c>
      <c r="L72" s="172">
        <f t="shared" si="15"/>
        <v>757.76806158600084</v>
      </c>
      <c r="M72" s="172">
        <f t="shared" si="15"/>
        <v>775.26716013987652</v>
      </c>
      <c r="N72" s="172">
        <f t="shared" si="15"/>
        <v>0</v>
      </c>
      <c r="O72" s="172">
        <f t="shared" si="15"/>
        <v>0</v>
      </c>
    </row>
    <row r="73" spans="1:15" s="157" customFormat="1" ht="15" x14ac:dyDescent="0.25">
      <c r="A73" s="359" t="s">
        <v>63</v>
      </c>
      <c r="B73" s="360" t="s">
        <v>24</v>
      </c>
      <c r="C73" s="361">
        <f t="shared" ref="C73" si="16">SUM(D73:O73)</f>
        <v>4621.730414596992</v>
      </c>
      <c r="D73" s="362">
        <f>IF(D72&lt;0,0,D72)</f>
        <v>74.224592777085945</v>
      </c>
      <c r="E73" s="362">
        <f>IF(E72&lt;0,0,E72)</f>
        <v>126.7252673308426</v>
      </c>
      <c r="F73" s="362">
        <f t="shared" ref="F73:O73" si="17">IF(F72&lt;0,0,F72)</f>
        <v>134.38440903594505</v>
      </c>
      <c r="G73" s="362">
        <f t="shared" si="17"/>
        <v>230.6666147887363</v>
      </c>
      <c r="H73" s="362">
        <f t="shared" si="17"/>
        <v>418.8973747457967</v>
      </c>
      <c r="I73" s="362">
        <f t="shared" si="17"/>
        <v>619.37164701935899</v>
      </c>
      <c r="J73" s="362">
        <f t="shared" si="17"/>
        <v>731.97611723485079</v>
      </c>
      <c r="K73" s="362">
        <f t="shared" si="17"/>
        <v>752.44916993849802</v>
      </c>
      <c r="L73" s="362">
        <f t="shared" si="17"/>
        <v>757.76806158600084</v>
      </c>
      <c r="M73" s="362">
        <f t="shared" si="17"/>
        <v>775.26716013987652</v>
      </c>
      <c r="N73" s="362">
        <f t="shared" si="17"/>
        <v>0</v>
      </c>
      <c r="O73" s="362">
        <f t="shared" si="17"/>
        <v>0</v>
      </c>
    </row>
    <row r="74" spans="1:15" x14ac:dyDescent="0.25">
      <c r="A74" s="208" t="s">
        <v>365</v>
      </c>
      <c r="B74" s="314" t="s">
        <v>24</v>
      </c>
      <c r="C74" s="39"/>
      <c r="D74" s="172">
        <f>IF(D72&lt;0,D72,0)</f>
        <v>0</v>
      </c>
      <c r="E74" s="172">
        <f>IF(E72&lt;0,E72,0)</f>
        <v>0</v>
      </c>
      <c r="F74" s="172">
        <f t="shared" ref="F74:O74" si="18">IF(F72&lt;0,F72,0)</f>
        <v>0</v>
      </c>
      <c r="G74" s="172">
        <f t="shared" si="18"/>
        <v>0</v>
      </c>
      <c r="H74" s="172">
        <f t="shared" si="18"/>
        <v>0</v>
      </c>
      <c r="I74" s="172">
        <f t="shared" si="18"/>
        <v>0</v>
      </c>
      <c r="J74" s="172">
        <f t="shared" si="18"/>
        <v>0</v>
      </c>
      <c r="K74" s="172">
        <f t="shared" si="18"/>
        <v>0</v>
      </c>
      <c r="L74" s="172">
        <f t="shared" si="18"/>
        <v>0</v>
      </c>
      <c r="M74" s="172">
        <f t="shared" si="18"/>
        <v>0</v>
      </c>
      <c r="N74" s="172">
        <f t="shared" si="18"/>
        <v>0</v>
      </c>
      <c r="O74" s="172">
        <f t="shared" si="18"/>
        <v>0</v>
      </c>
    </row>
    <row r="75" spans="1:15" x14ac:dyDescent="0.25">
      <c r="A75" s="82"/>
      <c r="C75" s="39"/>
      <c r="D75" s="73"/>
      <c r="E75" s="73"/>
      <c r="F75" s="73"/>
      <c r="G75" s="73"/>
      <c r="H75" s="73"/>
      <c r="I75" s="73"/>
      <c r="J75" s="73"/>
      <c r="K75" s="73"/>
      <c r="L75" s="73"/>
      <c r="M75" s="73"/>
      <c r="N75" s="73"/>
      <c r="O75" s="73"/>
    </row>
    <row r="76" spans="1:15" x14ac:dyDescent="0.25">
      <c r="A76" s="81" t="s">
        <v>270</v>
      </c>
      <c r="B76" s="311" t="s">
        <v>9</v>
      </c>
      <c r="C76" s="39"/>
      <c r="D76" s="60">
        <v>0.25</v>
      </c>
      <c r="E76" s="60">
        <f>D76</f>
        <v>0.25</v>
      </c>
      <c r="F76" s="60">
        <f>E76</f>
        <v>0.25</v>
      </c>
      <c r="G76" s="60">
        <f t="shared" ref="G76" si="19">F76</f>
        <v>0.25</v>
      </c>
      <c r="H76" s="60">
        <f t="shared" ref="H76" si="20">G76</f>
        <v>0.25</v>
      </c>
      <c r="I76" s="60">
        <f t="shared" ref="I76" si="21">H76</f>
        <v>0.25</v>
      </c>
      <c r="J76" s="60">
        <f t="shared" ref="J76" si="22">I76</f>
        <v>0.25</v>
      </c>
      <c r="K76" s="60">
        <f t="shared" ref="K76" si="23">J76</f>
        <v>0.25</v>
      </c>
      <c r="L76" s="60">
        <f t="shared" ref="L76" si="24">K76</f>
        <v>0.25</v>
      </c>
      <c r="M76" s="60">
        <f t="shared" ref="M76" si="25">L76</f>
        <v>0.25</v>
      </c>
      <c r="N76" s="60">
        <f t="shared" ref="N76" si="26">M76</f>
        <v>0.25</v>
      </c>
      <c r="O76" s="60">
        <f t="shared" ref="O76" si="27">N76</f>
        <v>0.25</v>
      </c>
    </row>
    <row r="77" spans="1:15" s="17" customFormat="1" x14ac:dyDescent="0.25">
      <c r="A77" s="41" t="s">
        <v>277</v>
      </c>
      <c r="B77" s="287" t="s">
        <v>25</v>
      </c>
      <c r="C77" s="39">
        <f>SUM(D77:O77)</f>
        <v>1155.432603649248</v>
      </c>
      <c r="D77" s="356">
        <f>D73*D76</f>
        <v>18.556148194271486</v>
      </c>
      <c r="E77" s="356">
        <f t="shared" ref="E77:O77" si="28">E73*E76</f>
        <v>31.68131683271065</v>
      </c>
      <c r="F77" s="356">
        <f t="shared" si="28"/>
        <v>33.596102258986264</v>
      </c>
      <c r="G77" s="356">
        <f t="shared" si="28"/>
        <v>57.666653697184074</v>
      </c>
      <c r="H77" s="356">
        <f t="shared" si="28"/>
        <v>104.72434368644917</v>
      </c>
      <c r="I77" s="356">
        <f t="shared" si="28"/>
        <v>154.84291175483975</v>
      </c>
      <c r="J77" s="356">
        <f t="shared" si="28"/>
        <v>182.9940293087127</v>
      </c>
      <c r="K77" s="356">
        <f t="shared" si="28"/>
        <v>188.1122924846245</v>
      </c>
      <c r="L77" s="356">
        <f t="shared" si="28"/>
        <v>189.44201539650021</v>
      </c>
      <c r="M77" s="356">
        <f t="shared" si="28"/>
        <v>193.81679003496913</v>
      </c>
      <c r="N77" s="356">
        <f t="shared" si="28"/>
        <v>0</v>
      </c>
      <c r="O77" s="356">
        <f t="shared" si="28"/>
        <v>0</v>
      </c>
    </row>
    <row r="78" spans="1:15" s="46" customFormat="1" ht="43.7" customHeight="1" x14ac:dyDescent="0.25">
      <c r="A78" s="28" t="s">
        <v>271</v>
      </c>
      <c r="B78" s="29"/>
      <c r="C78" s="62"/>
      <c r="D78" s="357"/>
      <c r="E78" s="357"/>
      <c r="F78" s="357"/>
      <c r="G78" s="357"/>
      <c r="H78" s="357"/>
      <c r="I78" s="357"/>
      <c r="J78" s="357"/>
      <c r="K78" s="357"/>
      <c r="L78" s="357"/>
      <c r="M78" s="357"/>
      <c r="N78" s="357"/>
      <c r="O78" s="358"/>
    </row>
    <row r="79" spans="1:15" s="17" customFormat="1" x14ac:dyDescent="0.25">
      <c r="A79" s="41" t="str">
        <f>A78</f>
        <v>4e  Income Tax or Minimum Tax  (before project funding)</v>
      </c>
      <c r="B79" s="287" t="s">
        <v>25</v>
      </c>
      <c r="C79" s="39">
        <f>SUM(D79:O79)</f>
        <v>1155.432603649248</v>
      </c>
      <c r="D79" s="356">
        <f t="shared" ref="D79:O79" si="29">MAX(D77,D56)</f>
        <v>18.556148194271486</v>
      </c>
      <c r="E79" s="356">
        <f t="shared" si="29"/>
        <v>31.68131683271065</v>
      </c>
      <c r="F79" s="356">
        <f t="shared" si="29"/>
        <v>33.596102258986264</v>
      </c>
      <c r="G79" s="356">
        <f t="shared" si="29"/>
        <v>57.666653697184074</v>
      </c>
      <c r="H79" s="356">
        <f t="shared" si="29"/>
        <v>104.72434368644917</v>
      </c>
      <c r="I79" s="356">
        <f t="shared" si="29"/>
        <v>154.84291175483975</v>
      </c>
      <c r="J79" s="356">
        <f t="shared" si="29"/>
        <v>182.9940293087127</v>
      </c>
      <c r="K79" s="356">
        <f t="shared" si="29"/>
        <v>188.1122924846245</v>
      </c>
      <c r="L79" s="356">
        <f t="shared" si="29"/>
        <v>189.44201539650021</v>
      </c>
      <c r="M79" s="356">
        <f t="shared" si="29"/>
        <v>193.81679003496913</v>
      </c>
      <c r="N79" s="356">
        <f t="shared" si="29"/>
        <v>0</v>
      </c>
      <c r="O79" s="356">
        <f t="shared" si="29"/>
        <v>0</v>
      </c>
    </row>
    <row r="80" spans="1:15" s="17" customFormat="1" x14ac:dyDescent="0.25">
      <c r="A80" s="41"/>
      <c r="B80" s="287"/>
      <c r="C80" s="39"/>
      <c r="D80" s="354"/>
      <c r="E80" s="354"/>
      <c r="F80" s="354"/>
      <c r="G80" s="354"/>
      <c r="H80" s="354"/>
      <c r="I80" s="354"/>
      <c r="J80" s="354"/>
      <c r="K80" s="354"/>
      <c r="L80" s="354"/>
      <c r="M80" s="354"/>
      <c r="N80" s="354"/>
      <c r="O80" s="354"/>
    </row>
    <row r="81" spans="1:29" s="77" customFormat="1" ht="36.6" customHeight="1" x14ac:dyDescent="0.2">
      <c r="A81" s="75" t="s">
        <v>8</v>
      </c>
      <c r="B81" s="287" t="s">
        <v>25</v>
      </c>
      <c r="C81" s="76">
        <f>SUM(D81:O81)</f>
        <v>1405.8625869969112</v>
      </c>
      <c r="D81" s="355">
        <f>D31+D48+D79</f>
        <v>-0.55639252801991645</v>
      </c>
      <c r="E81" s="355">
        <f>E31+E48+E79</f>
        <v>24.98051023246158</v>
      </c>
      <c r="F81" s="355">
        <f>F31+F48+F79</f>
        <v>36.782534674926481</v>
      </c>
      <c r="G81" s="355">
        <f t="shared" ref="G81:O81" si="30">G31+G48+G79</f>
        <v>75.758380883933782</v>
      </c>
      <c r="H81" s="355">
        <f t="shared" si="30"/>
        <v>131.30462592497753</v>
      </c>
      <c r="I81" s="355">
        <f t="shared" si="30"/>
        <v>191.99961158477606</v>
      </c>
      <c r="J81" s="355">
        <f t="shared" si="30"/>
        <v>226.63782890308698</v>
      </c>
      <c r="K81" s="355">
        <f t="shared" si="30"/>
        <v>232.13818079842304</v>
      </c>
      <c r="L81" s="355">
        <f t="shared" si="30"/>
        <v>232.46826304794223</v>
      </c>
      <c r="M81" s="355">
        <f t="shared" si="30"/>
        <v>254.34904347440346</v>
      </c>
      <c r="N81" s="355">
        <f t="shared" si="30"/>
        <v>0</v>
      </c>
      <c r="O81" s="355">
        <f t="shared" si="30"/>
        <v>0</v>
      </c>
    </row>
    <row r="82" spans="1:29" x14ac:dyDescent="0.25">
      <c r="A82" s="9"/>
      <c r="D82" s="1"/>
      <c r="E82" s="1"/>
      <c r="F82" s="1"/>
      <c r="G82" s="1"/>
      <c r="H82" s="1"/>
      <c r="I82" s="1"/>
      <c r="J82" s="1"/>
      <c r="K82" s="1"/>
      <c r="L82" s="1"/>
      <c r="M82" s="1"/>
      <c r="N82" s="1"/>
      <c r="O82" s="1"/>
    </row>
    <row r="83" spans="1:29" s="248" customFormat="1" ht="30.75" customHeight="1" x14ac:dyDescent="0.25">
      <c r="A83" s="248" t="str">
        <f>A$19</f>
        <v>Years --&gt;</v>
      </c>
      <c r="B83" s="345" t="str">
        <f>B$19</f>
        <v>units</v>
      </c>
      <c r="C83" s="249" t="str">
        <f t="shared" ref="C83:O83" si="31">C$19</f>
        <v>Total</v>
      </c>
      <c r="D83" s="250">
        <f t="shared" si="31"/>
        <v>2019</v>
      </c>
      <c r="E83" s="250">
        <f t="shared" si="31"/>
        <v>2020</v>
      </c>
      <c r="F83" s="250">
        <f t="shared" si="31"/>
        <v>2021</v>
      </c>
      <c r="G83" s="250">
        <f t="shared" si="31"/>
        <v>2022</v>
      </c>
      <c r="H83" s="250">
        <f t="shared" si="31"/>
        <v>2023</v>
      </c>
      <c r="I83" s="250">
        <f t="shared" si="31"/>
        <v>2024</v>
      </c>
      <c r="J83" s="250">
        <f t="shared" si="31"/>
        <v>2025</v>
      </c>
      <c r="K83" s="250">
        <f t="shared" si="31"/>
        <v>2026</v>
      </c>
      <c r="L83" s="250">
        <f t="shared" si="31"/>
        <v>2027</v>
      </c>
      <c r="M83" s="250">
        <f t="shared" si="31"/>
        <v>2028</v>
      </c>
      <c r="N83" s="250">
        <f t="shared" si="31"/>
        <v>2029</v>
      </c>
      <c r="O83" s="250">
        <f t="shared" si="31"/>
        <v>2030</v>
      </c>
      <c r="P83" s="235"/>
      <c r="Q83" s="235"/>
      <c r="R83" s="235"/>
      <c r="S83" s="235"/>
      <c r="T83" s="235"/>
      <c r="U83" s="235"/>
      <c r="V83" s="235"/>
      <c r="W83" s="235"/>
      <c r="X83" s="235"/>
      <c r="Y83" s="235"/>
      <c r="Z83" s="235"/>
      <c r="AA83" s="235"/>
      <c r="AB83" s="235"/>
      <c r="AC83" s="235"/>
    </row>
    <row r="97" spans="1:1" x14ac:dyDescent="0.25">
      <c r="A97" s="8" t="s">
        <v>424</v>
      </c>
    </row>
    <row r="98" spans="1:1" x14ac:dyDescent="0.25">
      <c r="A98" s="492" t="s">
        <v>428</v>
      </c>
    </row>
    <row r="111" spans="1:1" x14ac:dyDescent="0.25">
      <c r="A111" s="8" t="s">
        <v>425</v>
      </c>
    </row>
    <row r="112" spans="1:1" x14ac:dyDescent="0.25">
      <c r="A112" s="8" t="s">
        <v>426</v>
      </c>
    </row>
    <row r="114" spans="1:29" x14ac:dyDescent="0.25">
      <c r="A114" s="492" t="s">
        <v>427</v>
      </c>
    </row>
    <row r="116" spans="1:29" s="4" customFormat="1" x14ac:dyDescent="0.25">
      <c r="A116" s="38" t="s">
        <v>5</v>
      </c>
      <c r="B116" s="14"/>
      <c r="C116" s="1"/>
      <c r="P116" s="8"/>
      <c r="Q116" s="8"/>
      <c r="R116" s="8"/>
      <c r="S116" s="8"/>
      <c r="T116" s="8"/>
      <c r="U116" s="8"/>
      <c r="V116" s="8"/>
      <c r="W116" s="8"/>
      <c r="X116" s="8"/>
      <c r="Y116" s="8"/>
      <c r="Z116" s="8"/>
      <c r="AA116" s="8"/>
      <c r="AB116" s="8"/>
      <c r="AC116" s="8"/>
    </row>
    <row r="117" spans="1:29" s="4" customFormat="1" x14ac:dyDescent="0.25">
      <c r="A117" s="8" t="s">
        <v>6</v>
      </c>
      <c r="B117" s="14"/>
      <c r="C117" s="1"/>
      <c r="P117" s="8"/>
      <c r="Q117" s="8"/>
      <c r="R117" s="8"/>
      <c r="S117" s="8"/>
      <c r="T117" s="8"/>
      <c r="U117" s="8"/>
      <c r="V117" s="8"/>
      <c r="W117" s="8"/>
      <c r="X117" s="8"/>
      <c r="Y117" s="8"/>
      <c r="Z117" s="8"/>
      <c r="AA117" s="8"/>
      <c r="AB117" s="8"/>
      <c r="AC117" s="8"/>
    </row>
    <row r="118" spans="1:29" s="4" customFormat="1" x14ac:dyDescent="0.25">
      <c r="A118" s="42" t="s">
        <v>2</v>
      </c>
      <c r="B118" s="344" t="s">
        <v>15</v>
      </c>
      <c r="C118" s="2">
        <v>0.36</v>
      </c>
      <c r="D118" s="2">
        <v>0.36</v>
      </c>
      <c r="P118" s="8"/>
      <c r="Q118" s="8"/>
      <c r="R118" s="8"/>
      <c r="S118" s="8"/>
      <c r="T118" s="8"/>
      <c r="U118" s="8"/>
      <c r="V118" s="8"/>
      <c r="W118" s="8"/>
      <c r="X118" s="8"/>
      <c r="Y118" s="8"/>
      <c r="Z118" s="8"/>
      <c r="AA118" s="8"/>
      <c r="AB118" s="8"/>
      <c r="AC118" s="8"/>
    </row>
  </sheetData>
  <pageMargins left="0.70866141732283472" right="0.70866141732283472" top="0.74803149606299213" bottom="0.74803149606299213" header="0.31496062992125984" footer="0.31496062992125984"/>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14"/>
  <sheetViews>
    <sheetView zoomScale="60" zoomScaleNormal="60" zoomScalePageLayoutView="80" workbookViewId="0">
      <selection activeCell="R9" sqref="R9"/>
    </sheetView>
  </sheetViews>
  <sheetFormatPr defaultColWidth="8.85546875" defaultRowHeight="15.75" x14ac:dyDescent="0.25"/>
  <cols>
    <col min="1" max="1" width="51.140625" style="8" customWidth="1"/>
    <col min="2" max="2" width="21.85546875" style="3" customWidth="1"/>
    <col min="3" max="3" width="19.7109375" style="1" customWidth="1"/>
    <col min="4" max="15" width="13.85546875" style="4" customWidth="1"/>
    <col min="16" max="16384" width="8.85546875" style="8"/>
  </cols>
  <sheetData>
    <row r="1" spans="1:15" s="33" customFormat="1" ht="30.75" customHeight="1" x14ac:dyDescent="0.25">
      <c r="A1" s="251" t="str">
        <f>'Intro, Audits &amp; Log'!A1</f>
        <v>Business Model of 'Social Enterprise ABC' incl funding and accounting 10 years - Base Case</v>
      </c>
      <c r="B1" s="374"/>
      <c r="C1" s="236"/>
      <c r="D1" s="236"/>
      <c r="E1" s="236"/>
    </row>
    <row r="2" spans="1:15" s="34" customFormat="1" ht="63.75" customHeight="1" x14ac:dyDescent="0.25">
      <c r="A2" s="47" t="s">
        <v>278</v>
      </c>
      <c r="B2" s="375"/>
      <c r="C2" s="7"/>
      <c r="D2" s="33"/>
      <c r="E2" s="33"/>
      <c r="F2" s="33"/>
      <c r="G2" s="33"/>
      <c r="H2" s="33"/>
      <c r="I2" s="33"/>
      <c r="J2" s="33"/>
      <c r="K2" s="33"/>
      <c r="L2" s="33"/>
      <c r="M2" s="33"/>
      <c r="N2" s="33"/>
      <c r="O2" s="33"/>
    </row>
    <row r="21" spans="1:15" ht="17.25" customHeight="1" x14ac:dyDescent="0.25">
      <c r="A21" s="9"/>
      <c r="C21" s="36"/>
    </row>
    <row r="22" spans="1:15" s="83" customFormat="1" ht="49.35" customHeight="1" x14ac:dyDescent="0.25">
      <c r="A22" s="212" t="str">
        <f>'Sales&amp;Revenue'!A$52</f>
        <v>Years --&gt;</v>
      </c>
      <c r="B22" s="376" t="str">
        <f>'Sales&amp;Revenue'!B$52</f>
        <v>units</v>
      </c>
      <c r="C22" s="213" t="str">
        <f>'Sales&amp;Revenue'!C$52</f>
        <v>Total</v>
      </c>
      <c r="D22" s="214">
        <f>'Sales&amp;Revenue'!D$52</f>
        <v>2019</v>
      </c>
      <c r="E22" s="214">
        <f>'Sales&amp;Revenue'!E$52</f>
        <v>2020</v>
      </c>
      <c r="F22" s="214">
        <f>'Sales&amp;Revenue'!F$52</f>
        <v>2021</v>
      </c>
      <c r="G22" s="214">
        <f>'Sales&amp;Revenue'!G$52</f>
        <v>2022</v>
      </c>
      <c r="H22" s="214">
        <f>'Sales&amp;Revenue'!H$52</f>
        <v>2023</v>
      </c>
      <c r="I22" s="214">
        <f>'Sales&amp;Revenue'!I$52</f>
        <v>2024</v>
      </c>
      <c r="J22" s="214">
        <f>'Sales&amp;Revenue'!J$52</f>
        <v>2025</v>
      </c>
      <c r="K22" s="214">
        <f>'Sales&amp;Revenue'!K$52</f>
        <v>2026</v>
      </c>
      <c r="L22" s="214">
        <f>'Sales&amp;Revenue'!L$52</f>
        <v>2027</v>
      </c>
      <c r="M22" s="214">
        <f>'Sales&amp;Revenue'!M$52</f>
        <v>2028</v>
      </c>
      <c r="N22" s="214">
        <f>'Sales&amp;Revenue'!N$52</f>
        <v>2029</v>
      </c>
      <c r="O22" s="214">
        <f>'Sales&amp;Revenue'!O$52</f>
        <v>2030</v>
      </c>
    </row>
    <row r="23" spans="1:15" s="46" customFormat="1" ht="45" customHeight="1" x14ac:dyDescent="0.25">
      <c r="A23" s="28" t="s">
        <v>225</v>
      </c>
      <c r="B23" s="375"/>
      <c r="C23" s="62"/>
      <c r="D23" s="74"/>
      <c r="E23" s="74"/>
      <c r="F23" s="74"/>
      <c r="G23" s="74"/>
      <c r="H23" s="74"/>
      <c r="I23" s="74"/>
      <c r="J23" s="74"/>
      <c r="K23" s="74"/>
      <c r="L23" s="74"/>
      <c r="M23" s="74"/>
      <c r="N23" s="74"/>
      <c r="O23" s="74"/>
    </row>
    <row r="24" spans="1:15" x14ac:dyDescent="0.25">
      <c r="A24" s="43" t="s">
        <v>23</v>
      </c>
      <c r="D24" s="1"/>
      <c r="E24" s="1"/>
      <c r="F24" s="1"/>
      <c r="G24" s="1"/>
      <c r="H24" s="1"/>
      <c r="I24" s="1"/>
      <c r="J24" s="1"/>
      <c r="K24" s="1"/>
      <c r="L24" s="1"/>
      <c r="M24" s="1"/>
      <c r="N24" s="1"/>
      <c r="O24" s="1"/>
    </row>
    <row r="25" spans="1:15" s="9" customFormat="1" x14ac:dyDescent="0.25">
      <c r="A25" s="220" t="str">
        <f>'Sales&amp;Revenue'!A$65</f>
        <v>Total ABC units sold</v>
      </c>
      <c r="B25" s="377" t="str">
        <f>'Sales&amp;Revenue'!B$65</f>
        <v>units</v>
      </c>
      <c r="C25" s="215">
        <f>'Sales&amp;Revenue'!C$65</f>
        <v>735565.2536666526</v>
      </c>
      <c r="D25" s="215">
        <f>'Sales&amp;Revenue'!D$65</f>
        <v>40000</v>
      </c>
      <c r="E25" s="215">
        <f>'Sales&amp;Revenue'!E$65</f>
        <v>42250</v>
      </c>
      <c r="F25" s="215">
        <f>'Sales&amp;Revenue'!F$65</f>
        <v>46475</v>
      </c>
      <c r="G25" s="215">
        <f>'Sales&amp;Revenue'!G$65</f>
        <v>55165</v>
      </c>
      <c r="H25" s="215">
        <f>'Sales&amp;Revenue'!H$65</f>
        <v>68304.500000000015</v>
      </c>
      <c r="I25" s="215">
        <f>'Sales&amp;Revenue'!I$65</f>
        <v>84836.950000000012</v>
      </c>
      <c r="J25" s="215">
        <f>'Sales&amp;Revenue'!J$65</f>
        <v>95260.357500000013</v>
      </c>
      <c r="K25" s="215">
        <f>'Sales&amp;Revenue'!K$65</f>
        <v>98118.168225000016</v>
      </c>
      <c r="L25" s="215">
        <f>'Sales&amp;Revenue'!L$65</f>
        <v>101061.71327175002</v>
      </c>
      <c r="M25" s="215">
        <f>'Sales&amp;Revenue'!M$65</f>
        <v>104093.56466990251</v>
      </c>
      <c r="N25" s="215">
        <f>'Sales&amp;Revenue'!N$65</f>
        <v>0</v>
      </c>
      <c r="O25" s="215">
        <f>'Sales&amp;Revenue'!O$65</f>
        <v>0</v>
      </c>
    </row>
    <row r="26" spans="1:15" s="46" customFormat="1" ht="45" customHeight="1" x14ac:dyDescent="0.25">
      <c r="A26" s="28" t="s">
        <v>249</v>
      </c>
      <c r="B26" s="375"/>
      <c r="C26" s="62"/>
      <c r="D26" s="74"/>
      <c r="E26" s="74"/>
      <c r="F26" s="74"/>
      <c r="G26" s="74"/>
      <c r="H26" s="74"/>
      <c r="I26" s="74"/>
      <c r="J26" s="74"/>
      <c r="K26" s="74"/>
      <c r="L26" s="74"/>
      <c r="M26" s="74"/>
      <c r="N26" s="74"/>
      <c r="O26" s="74"/>
    </row>
    <row r="27" spans="1:15" x14ac:dyDescent="0.25">
      <c r="A27" s="43" t="s">
        <v>371</v>
      </c>
      <c r="D27" s="1"/>
      <c r="E27" s="1"/>
      <c r="F27" s="1"/>
      <c r="G27" s="1"/>
      <c r="H27" s="1"/>
      <c r="I27" s="1"/>
      <c r="J27" s="1"/>
      <c r="K27" s="1"/>
      <c r="L27" s="1"/>
      <c r="M27" s="1"/>
      <c r="N27" s="1"/>
      <c r="O27" s="1"/>
    </row>
    <row r="28" spans="1:15" x14ac:dyDescent="0.25">
      <c r="A28" s="217" t="str">
        <f>'Sales&amp;Revenue'!A124</f>
        <v>Cashstream 1: Revenue (incl debtors)</v>
      </c>
      <c r="B28" s="378" t="str">
        <f>'Sales&amp;Revenue'!B124</f>
        <v>US$ 000  Real</v>
      </c>
      <c r="C28" s="215">
        <f>'Sales&amp;Revenue'!C124</f>
        <v>31272.727211008641</v>
      </c>
      <c r="D28" s="363">
        <f>'Sales&amp;Revenue'!D124</f>
        <v>1742</v>
      </c>
      <c r="E28" s="363">
        <f>'Sales&amp;Revenue'!E124</f>
        <v>1918.4300410958904</v>
      </c>
      <c r="F28" s="363">
        <f>'Sales&amp;Revenue'!F124</f>
        <v>2072.0635934794523</v>
      </c>
      <c r="G28" s="363">
        <f>'Sales&amp;Revenue'!G124</f>
        <v>2411.0848705475073</v>
      </c>
      <c r="H28" s="363">
        <f>'Sales&amp;Revenue'!H124</f>
        <v>2936.6467394209808</v>
      </c>
      <c r="I28" s="363">
        <f>'Sales&amp;Revenue'!I124</f>
        <v>3588.9597433014292</v>
      </c>
      <c r="J28" s="363">
        <f>'Sales&amp;Revenue'!J124</f>
        <v>3978.1105790281995</v>
      </c>
      <c r="K28" s="363">
        <f>'Sales&amp;Revenue'!K124</f>
        <v>4048.5560048802458</v>
      </c>
      <c r="L28" s="363">
        <f>'Sales&amp;Revenue'!L124</f>
        <v>4094.180960371732</v>
      </c>
      <c r="M28" s="363">
        <f>'Sales&amp;Revenue'!M124</f>
        <v>4140.4618463162051</v>
      </c>
      <c r="N28" s="363">
        <f>'Sales&amp;Revenue'!N124</f>
        <v>342.23283256699506</v>
      </c>
      <c r="O28" s="363">
        <f>'Sales&amp;Revenue'!O124</f>
        <v>0</v>
      </c>
    </row>
    <row r="29" spans="1:15" x14ac:dyDescent="0.25">
      <c r="A29" s="217" t="str">
        <f>'Capital &amp; Operating Costs'!A35</f>
        <v>Cashstream 2: Capital Costs (for plant and equipment)</v>
      </c>
      <c r="B29" s="378" t="str">
        <f>'Capital &amp; Operating Costs'!B35</f>
        <v>US$ 000 Real</v>
      </c>
      <c r="C29" s="215">
        <f>'Capital &amp; Operating Costs'!C35</f>
        <v>1150</v>
      </c>
      <c r="D29" s="363">
        <f>'Capital &amp; Operating Costs'!D35</f>
        <v>315</v>
      </c>
      <c r="E29" s="363">
        <f>'Capital &amp; Operating Costs'!E35</f>
        <v>275</v>
      </c>
      <c r="F29" s="363">
        <f>'Capital &amp; Operating Costs'!F35</f>
        <v>175</v>
      </c>
      <c r="G29" s="363">
        <f>'Capital &amp; Operating Costs'!G35</f>
        <v>55</v>
      </c>
      <c r="H29" s="363">
        <f>'Capital &amp; Operating Costs'!H35</f>
        <v>55</v>
      </c>
      <c r="I29" s="363">
        <f>'Capital &amp; Operating Costs'!I35</f>
        <v>55</v>
      </c>
      <c r="J29" s="363">
        <f>'Capital &amp; Operating Costs'!J35</f>
        <v>55</v>
      </c>
      <c r="K29" s="363">
        <f>'Capital &amp; Operating Costs'!K35</f>
        <v>55</v>
      </c>
      <c r="L29" s="363">
        <f>'Capital &amp; Operating Costs'!L35</f>
        <v>55</v>
      </c>
      <c r="M29" s="363">
        <f>'Capital &amp; Operating Costs'!M35</f>
        <v>55</v>
      </c>
      <c r="N29" s="363">
        <f>'Capital &amp; Operating Costs'!N35</f>
        <v>0</v>
      </c>
      <c r="O29" s="363">
        <f>'Capital &amp; Operating Costs'!O35</f>
        <v>0</v>
      </c>
    </row>
    <row r="30" spans="1:15" x14ac:dyDescent="0.25">
      <c r="A30" s="217" t="str">
        <f>'Capital &amp; Operating Costs'!A187</f>
        <v>Cashstream 3: Operating Costs  (incl creditors)</v>
      </c>
      <c r="B30" s="378" t="str">
        <f>'Capital &amp; Operating Costs'!B187</f>
        <v>US$ 000  Real</v>
      </c>
      <c r="C30" s="215">
        <f>'Capital &amp; Operating Costs'!C187</f>
        <v>25434.689030251062</v>
      </c>
      <c r="D30" s="363">
        <f>'Capital &amp; Operating Costs'!D187</f>
        <v>1730.8677056483393</v>
      </c>
      <c r="E30" s="363">
        <f>'Capital &amp; Operating Costs'!E187</f>
        <v>1693.9959198911617</v>
      </c>
      <c r="F30" s="363">
        <f>'Capital &amp; Operating Costs'!F187</f>
        <v>1814.8137614392947</v>
      </c>
      <c r="G30" s="363">
        <f>'Capital &amp; Operating Costs'!G187</f>
        <v>2074.8339722629239</v>
      </c>
      <c r="H30" s="363">
        <f>'Capital &amp; Operating Costs'!H187</f>
        <v>2438.4768972027</v>
      </c>
      <c r="I30" s="363">
        <f>'Capital &amp; Operating Costs'!I187</f>
        <v>2886.3581142229659</v>
      </c>
      <c r="J30" s="363">
        <f>'Capital &amp; Operating Costs'!J187</f>
        <v>3150.0269408689842</v>
      </c>
      <c r="K30" s="363">
        <f>'Capital &amp; Operating Costs'!K187</f>
        <v>3197.9091132362173</v>
      </c>
      <c r="L30" s="363">
        <f>'Capital &amp; Operating Costs'!L187</f>
        <v>3242.2446210239732</v>
      </c>
      <c r="M30" s="363">
        <f>'Capital &amp; Operating Costs'!M187</f>
        <v>2951.3235187842661</v>
      </c>
      <c r="N30" s="363">
        <f>'Capital &amp; Operating Costs'!N187</f>
        <v>253.83846567023539</v>
      </c>
      <c r="O30" s="363">
        <f>'Capital &amp; Operating Costs'!O187</f>
        <v>0</v>
      </c>
    </row>
    <row r="31" spans="1:15" x14ac:dyDescent="0.25">
      <c r="A31" s="217" t="str">
        <f>Taxes!A81</f>
        <v>Cashstream 4: Taxes</v>
      </c>
      <c r="B31" s="378" t="str">
        <f>Taxes!B81</f>
        <v>US$ 000 Real</v>
      </c>
      <c r="C31" s="215">
        <f>Taxes!C81</f>
        <v>1405.8625869969112</v>
      </c>
      <c r="D31" s="363">
        <f>Taxes!D81</f>
        <v>-0.55639252801991645</v>
      </c>
      <c r="E31" s="363">
        <f>Taxes!E81</f>
        <v>24.98051023246158</v>
      </c>
      <c r="F31" s="363">
        <f>Taxes!F81</f>
        <v>36.782534674926481</v>
      </c>
      <c r="G31" s="363">
        <f>Taxes!G81</f>
        <v>75.758380883933782</v>
      </c>
      <c r="H31" s="363">
        <f>Taxes!H81</f>
        <v>131.30462592497753</v>
      </c>
      <c r="I31" s="363">
        <f>Taxes!I81</f>
        <v>191.99961158477606</v>
      </c>
      <c r="J31" s="363">
        <f>Taxes!J81</f>
        <v>226.63782890308698</v>
      </c>
      <c r="K31" s="363">
        <f>Taxes!K81</f>
        <v>232.13818079842304</v>
      </c>
      <c r="L31" s="363">
        <f>Taxes!L81</f>
        <v>232.46826304794223</v>
      </c>
      <c r="M31" s="363">
        <f>Taxes!M81</f>
        <v>254.34904347440346</v>
      </c>
      <c r="N31" s="363">
        <f>Taxes!N81</f>
        <v>0</v>
      </c>
      <c r="O31" s="363">
        <f>Taxes!O81</f>
        <v>0</v>
      </c>
    </row>
    <row r="32" spans="1:15" s="77" customFormat="1" ht="36.6" customHeight="1" thickBot="1" x14ac:dyDescent="0.3">
      <c r="A32" s="75" t="s">
        <v>373</v>
      </c>
      <c r="B32" s="375" t="s">
        <v>24</v>
      </c>
      <c r="C32" s="304">
        <f>SUM(D32:O32)</f>
        <v>3282.1755937606645</v>
      </c>
      <c r="D32" s="364">
        <f t="shared" ref="D32:O32" si="0">D28-SUM(D29:D31)</f>
        <v>-303.31131312031948</v>
      </c>
      <c r="E32" s="355">
        <f t="shared" si="0"/>
        <v>-75.546389027732857</v>
      </c>
      <c r="F32" s="355">
        <f t="shared" si="0"/>
        <v>45.467297365231161</v>
      </c>
      <c r="G32" s="355">
        <f t="shared" si="0"/>
        <v>205.49251740064983</v>
      </c>
      <c r="H32" s="355">
        <f t="shared" si="0"/>
        <v>311.86521629330309</v>
      </c>
      <c r="I32" s="355">
        <f t="shared" si="0"/>
        <v>455.60201749368707</v>
      </c>
      <c r="J32" s="355">
        <f t="shared" si="0"/>
        <v>546.44580925612854</v>
      </c>
      <c r="K32" s="355">
        <f t="shared" si="0"/>
        <v>563.50871084560549</v>
      </c>
      <c r="L32" s="355">
        <f t="shared" si="0"/>
        <v>564.4680762998164</v>
      </c>
      <c r="M32" s="355">
        <f t="shared" si="0"/>
        <v>879.7892840575355</v>
      </c>
      <c r="N32" s="355">
        <f t="shared" si="0"/>
        <v>88.394366896759664</v>
      </c>
      <c r="O32" s="355">
        <f t="shared" si="0"/>
        <v>0</v>
      </c>
    </row>
    <row r="33" spans="1:15" s="17" customFormat="1" ht="19.5" thickBot="1" x14ac:dyDescent="0.35">
      <c r="A33" s="204" t="s">
        <v>64</v>
      </c>
      <c r="B33" s="375" t="s">
        <v>24</v>
      </c>
      <c r="C33" s="40"/>
      <c r="D33" s="365">
        <f>D32</f>
        <v>-303.31131312031948</v>
      </c>
      <c r="E33" s="366">
        <f>D33+E32</f>
        <v>-378.85770214805234</v>
      </c>
      <c r="F33" s="366">
        <f t="shared" ref="F33:O33" si="1">E33+F32</f>
        <v>-333.39040478282118</v>
      </c>
      <c r="G33" s="366">
        <f t="shared" si="1"/>
        <v>-127.89788738217135</v>
      </c>
      <c r="H33" s="366">
        <f t="shared" si="1"/>
        <v>183.96732891113174</v>
      </c>
      <c r="I33" s="366">
        <f t="shared" si="1"/>
        <v>639.56934640481882</v>
      </c>
      <c r="J33" s="366">
        <f t="shared" si="1"/>
        <v>1186.0151556609474</v>
      </c>
      <c r="K33" s="366">
        <f t="shared" si="1"/>
        <v>1749.5238665065528</v>
      </c>
      <c r="L33" s="366">
        <f t="shared" si="1"/>
        <v>2313.9919428063695</v>
      </c>
      <c r="M33" s="366">
        <f t="shared" si="1"/>
        <v>3193.781226863905</v>
      </c>
      <c r="N33" s="366">
        <f t="shared" si="1"/>
        <v>3282.1755937606645</v>
      </c>
      <c r="O33" s="366">
        <f t="shared" si="1"/>
        <v>3282.1755937606645</v>
      </c>
    </row>
    <row r="34" spans="1:15" s="17" customFormat="1" x14ac:dyDescent="0.25">
      <c r="B34" s="375"/>
      <c r="C34" s="40"/>
      <c r="D34" s="73"/>
      <c r="E34" s="40"/>
      <c r="F34" s="40"/>
      <c r="G34" s="40"/>
      <c r="H34" s="40"/>
      <c r="I34" s="40"/>
      <c r="J34" s="40"/>
      <c r="K34" s="40"/>
      <c r="L34" s="40"/>
      <c r="M34" s="40"/>
      <c r="N34" s="40"/>
      <c r="O34" s="40"/>
    </row>
    <row r="35" spans="1:15" s="46" customFormat="1" ht="45" customHeight="1" x14ac:dyDescent="0.25">
      <c r="A35" s="28" t="s">
        <v>226</v>
      </c>
      <c r="B35" s="375"/>
      <c r="C35" s="62"/>
      <c r="D35" s="74"/>
      <c r="E35" s="74"/>
      <c r="F35" s="74"/>
      <c r="G35" s="74"/>
      <c r="H35" s="74"/>
      <c r="I35" s="74"/>
      <c r="J35" s="74"/>
      <c r="K35" s="74"/>
      <c r="L35" s="74"/>
      <c r="M35" s="74"/>
      <c r="N35" s="74"/>
      <c r="O35" s="74"/>
    </row>
    <row r="36" spans="1:15" ht="16.5" thickBot="1" x14ac:dyDescent="0.3">
      <c r="A36" s="94" t="s">
        <v>286</v>
      </c>
      <c r="B36" s="375"/>
    </row>
    <row r="37" spans="1:15" s="98" customFormat="1" ht="36.6" customHeight="1" thickBot="1" x14ac:dyDescent="0.3">
      <c r="A37" s="121" t="s">
        <v>372</v>
      </c>
      <c r="B37" s="379" t="s">
        <v>285</v>
      </c>
      <c r="C37" s="122">
        <f>IRR(D32:O32,5%)</f>
        <v>0.47939836366240574</v>
      </c>
      <c r="D37" s="95" t="s">
        <v>287</v>
      </c>
      <c r="E37" s="97"/>
      <c r="F37" s="97"/>
      <c r="G37" s="97"/>
      <c r="H37" s="97"/>
      <c r="I37" s="97"/>
      <c r="J37" s="97"/>
      <c r="K37" s="97"/>
      <c r="L37" s="97"/>
      <c r="M37" s="97"/>
      <c r="N37" s="97"/>
      <c r="O37" s="97"/>
    </row>
    <row r="38" spans="1:15" s="98" customFormat="1" ht="21" customHeight="1" x14ac:dyDescent="0.25">
      <c r="A38" s="96"/>
      <c r="B38" s="380"/>
      <c r="C38" s="99"/>
      <c r="D38" s="97"/>
      <c r="E38" s="97"/>
      <c r="F38" s="97"/>
      <c r="G38" s="97"/>
      <c r="H38" s="97"/>
      <c r="I38" s="97"/>
      <c r="J38" s="97"/>
      <c r="K38" s="97"/>
      <c r="L38" s="97"/>
      <c r="M38" s="97"/>
      <c r="N38" s="97"/>
      <c r="O38" s="97"/>
    </row>
    <row r="39" spans="1:15" s="46" customFormat="1" ht="45" customHeight="1" x14ac:dyDescent="0.25">
      <c r="A39" s="28" t="s">
        <v>227</v>
      </c>
      <c r="B39" s="375"/>
      <c r="C39" s="62"/>
      <c r="D39" s="74"/>
      <c r="E39" s="74"/>
      <c r="F39" s="74"/>
      <c r="G39" s="74"/>
      <c r="H39" s="74"/>
      <c r="I39" s="74"/>
      <c r="J39" s="74"/>
      <c r="K39" s="74"/>
      <c r="L39" s="74"/>
      <c r="M39" s="74"/>
      <c r="N39" s="74"/>
      <c r="O39" s="74"/>
    </row>
    <row r="40" spans="1:15" ht="29.25" customHeight="1" x14ac:dyDescent="0.25">
      <c r="A40" s="43" t="s">
        <v>289</v>
      </c>
    </row>
    <row r="41" spans="1:15" ht="18" customHeight="1" x14ac:dyDescent="0.25">
      <c r="A41" s="43" t="s">
        <v>374</v>
      </c>
    </row>
    <row r="42" spans="1:15" x14ac:dyDescent="0.25">
      <c r="A42" s="38" t="s">
        <v>71</v>
      </c>
    </row>
    <row r="43" spans="1:15" x14ac:dyDescent="0.25">
      <c r="A43" s="94" t="s">
        <v>290</v>
      </c>
      <c r="B43" s="375"/>
    </row>
    <row r="44" spans="1:15" x14ac:dyDescent="0.25">
      <c r="A44" s="94" t="s">
        <v>375</v>
      </c>
      <c r="B44" s="375"/>
    </row>
    <row r="45" spans="1:15" x14ac:dyDescent="0.25">
      <c r="A45" s="124" t="s">
        <v>70</v>
      </c>
    </row>
    <row r="46" spans="1:15" x14ac:dyDescent="0.25">
      <c r="A46" s="94" t="s">
        <v>288</v>
      </c>
      <c r="B46" s="375"/>
    </row>
    <row r="47" spans="1:15" x14ac:dyDescent="0.25">
      <c r="A47" s="94" t="s">
        <v>69</v>
      </c>
      <c r="B47" s="375"/>
    </row>
    <row r="48" spans="1:15" ht="14.25" customHeight="1" x14ac:dyDescent="0.25">
      <c r="A48" s="43"/>
    </row>
    <row r="49" spans="1:15" ht="16.5" thickBot="1" x14ac:dyDescent="0.3">
      <c r="A49" s="81" t="s">
        <v>224</v>
      </c>
      <c r="B49" s="381" t="s">
        <v>283</v>
      </c>
      <c r="C49" s="51"/>
      <c r="D49" s="60">
        <v>0.09</v>
      </c>
      <c r="E49" s="60">
        <f>D49</f>
        <v>0.09</v>
      </c>
      <c r="F49" s="60">
        <f>E49</f>
        <v>0.09</v>
      </c>
      <c r="G49" s="60">
        <f t="shared" ref="G49:O49" si="2">F49</f>
        <v>0.09</v>
      </c>
      <c r="H49" s="60">
        <f t="shared" si="2"/>
        <v>0.09</v>
      </c>
      <c r="I49" s="60">
        <f t="shared" si="2"/>
        <v>0.09</v>
      </c>
      <c r="J49" s="60">
        <f t="shared" si="2"/>
        <v>0.09</v>
      </c>
      <c r="K49" s="60">
        <f t="shared" si="2"/>
        <v>0.09</v>
      </c>
      <c r="L49" s="60">
        <f t="shared" si="2"/>
        <v>0.09</v>
      </c>
      <c r="M49" s="60">
        <f t="shared" si="2"/>
        <v>0.09</v>
      </c>
      <c r="N49" s="60">
        <f t="shared" si="2"/>
        <v>0.09</v>
      </c>
      <c r="O49" s="60">
        <f t="shared" si="2"/>
        <v>0.09</v>
      </c>
    </row>
    <row r="50" spans="1:15" s="91" customFormat="1" ht="16.5" thickBot="1" x14ac:dyDescent="0.3">
      <c r="A50" s="91" t="s">
        <v>46</v>
      </c>
      <c r="B50" s="382" t="s">
        <v>48</v>
      </c>
      <c r="C50" s="92"/>
      <c r="D50" s="59">
        <f>1/(1+D49)^0.5</f>
        <v>0.95782628522115132</v>
      </c>
      <c r="E50" s="92">
        <f>D50/(1+E49)</f>
        <v>0.8787397112120654</v>
      </c>
      <c r="F50" s="92">
        <f t="shared" ref="F50:O50" si="3">E50/(1+F49)</f>
        <v>0.80618322129547282</v>
      </c>
      <c r="G50" s="92">
        <f t="shared" si="3"/>
        <v>0.73961763421603011</v>
      </c>
      <c r="H50" s="92">
        <f t="shared" si="3"/>
        <v>0.6785482882715872</v>
      </c>
      <c r="I50" s="92">
        <f t="shared" si="3"/>
        <v>0.62252136538677716</v>
      </c>
      <c r="J50" s="92">
        <f t="shared" si="3"/>
        <v>0.57112051870346525</v>
      </c>
      <c r="K50" s="92">
        <f t="shared" si="3"/>
        <v>0.52396377862703225</v>
      </c>
      <c r="L50" s="92">
        <f t="shared" si="3"/>
        <v>0.48070071433672679</v>
      </c>
      <c r="M50" s="92">
        <f t="shared" si="3"/>
        <v>0.44100982966672181</v>
      </c>
      <c r="N50" s="92">
        <f t="shared" si="3"/>
        <v>0.40459617400616676</v>
      </c>
      <c r="O50" s="92">
        <f t="shared" si="3"/>
        <v>0.37118915046437317</v>
      </c>
    </row>
    <row r="51" spans="1:15" s="77" customFormat="1" ht="36.6" customHeight="1" thickBot="1" x14ac:dyDescent="0.3">
      <c r="A51" s="75" t="s">
        <v>47</v>
      </c>
      <c r="B51" s="375" t="s">
        <v>284</v>
      </c>
      <c r="C51" s="304">
        <f>SUM(D51:O51)</f>
        <v>1629.4178200260994</v>
      </c>
      <c r="D51" s="364">
        <f t="shared" ref="D51:O51" si="4">D32*D50</f>
        <v>-290.51954831158508</v>
      </c>
      <c r="E51" s="355">
        <f t="shared" si="4"/>
        <v>-66.385612077344319</v>
      </c>
      <c r="F51" s="355">
        <f t="shared" si="4"/>
        <v>36.654972253501221</v>
      </c>
      <c r="G51" s="355">
        <f t="shared" si="4"/>
        <v>151.98588956896504</v>
      </c>
      <c r="H51" s="355">
        <f t="shared" si="4"/>
        <v>211.61560868726912</v>
      </c>
      <c r="I51" s="355">
        <f t="shared" si="4"/>
        <v>283.62199000314041</v>
      </c>
      <c r="J51" s="355">
        <f t="shared" si="4"/>
        <v>312.08641402569498</v>
      </c>
      <c r="K51" s="355">
        <f t="shared" si="4"/>
        <v>295.25815342391115</v>
      </c>
      <c r="L51" s="355">
        <f t="shared" si="4"/>
        <v>271.34020749759975</v>
      </c>
      <c r="M51" s="355">
        <f t="shared" si="4"/>
        <v>387.99572230482084</v>
      </c>
      <c r="N51" s="355">
        <f t="shared" si="4"/>
        <v>35.764022650126321</v>
      </c>
      <c r="O51" s="355">
        <f t="shared" si="4"/>
        <v>0</v>
      </c>
    </row>
    <row r="52" spans="1:15" s="93" customFormat="1" ht="16.5" thickBot="1" x14ac:dyDescent="0.3">
      <c r="A52" s="93" t="s">
        <v>72</v>
      </c>
      <c r="B52" s="383" t="s">
        <v>65</v>
      </c>
      <c r="C52" s="172"/>
      <c r="D52" s="367">
        <f>D51</f>
        <v>-290.51954831158508</v>
      </c>
      <c r="E52" s="171">
        <f>D52+E51</f>
        <v>-356.9051603889294</v>
      </c>
      <c r="F52" s="171">
        <f t="shared" ref="F52" si="5">E52+F51</f>
        <v>-320.25018813542817</v>
      </c>
      <c r="G52" s="171">
        <f t="shared" ref="G52" si="6">F52+G51</f>
        <v>-168.26429856646314</v>
      </c>
      <c r="H52" s="171">
        <f t="shared" ref="H52" si="7">G52+H51</f>
        <v>43.351310120805977</v>
      </c>
      <c r="I52" s="171">
        <f t="shared" ref="I52" si="8">H52+I51</f>
        <v>326.97330012394639</v>
      </c>
      <c r="J52" s="171">
        <f t="shared" ref="J52" si="9">I52+J51</f>
        <v>639.05971414964142</v>
      </c>
      <c r="K52" s="171">
        <f t="shared" ref="K52" si="10">J52+K51</f>
        <v>934.31786757355258</v>
      </c>
      <c r="L52" s="171">
        <f t="shared" ref="L52" si="11">K52+L51</f>
        <v>1205.6580750711523</v>
      </c>
      <c r="M52" s="171">
        <f t="shared" ref="M52" si="12">L52+M51</f>
        <v>1593.6537973759732</v>
      </c>
      <c r="N52" s="171">
        <f t="shared" ref="N52" si="13">M52+N51</f>
        <v>1629.4178200260994</v>
      </c>
      <c r="O52" s="171">
        <f t="shared" ref="O52" si="14">N52+O51</f>
        <v>1629.4178200260994</v>
      </c>
    </row>
    <row r="53" spans="1:15" s="98" customFormat="1" ht="36.6" customHeight="1" thickBot="1" x14ac:dyDescent="0.3">
      <c r="A53" s="121" t="s">
        <v>49</v>
      </c>
      <c r="B53" s="379" t="s">
        <v>65</v>
      </c>
      <c r="C53" s="368">
        <f>SUM(D51:O51)</f>
        <v>1629.4178200260994</v>
      </c>
      <c r="D53" s="95" t="s">
        <v>376</v>
      </c>
      <c r="E53" s="369"/>
      <c r="F53" s="369"/>
      <c r="G53" s="369"/>
      <c r="H53" s="369"/>
      <c r="I53" s="369"/>
      <c r="J53" s="369"/>
      <c r="K53" s="369"/>
      <c r="L53" s="369"/>
      <c r="M53" s="369"/>
      <c r="N53" s="369"/>
      <c r="O53" s="369"/>
    </row>
    <row r="54" spans="1:15" s="120" customFormat="1" ht="134.25" customHeight="1" x14ac:dyDescent="0.25">
      <c r="A54" s="119" t="s">
        <v>10</v>
      </c>
      <c r="B54" s="384"/>
      <c r="C54" s="171"/>
      <c r="D54" s="171"/>
      <c r="E54" s="171"/>
      <c r="F54" s="171"/>
      <c r="G54" s="171"/>
      <c r="H54" s="171"/>
      <c r="I54" s="171"/>
      <c r="J54" s="171"/>
      <c r="K54" s="171"/>
      <c r="L54" s="171"/>
      <c r="M54" s="370"/>
      <c r="N54" s="370"/>
      <c r="O54" s="370"/>
    </row>
    <row r="55" spans="1:15" s="100" customFormat="1" ht="19.350000000000001" customHeight="1" x14ac:dyDescent="0.25">
      <c r="A55" s="222" t="str">
        <f>'Sales&amp;Revenue'!A$52</f>
        <v>Years --&gt;</v>
      </c>
      <c r="B55" s="376" t="str">
        <f>'Sales&amp;Revenue'!B$52</f>
        <v>units</v>
      </c>
      <c r="C55" s="371" t="str">
        <f>'Sales&amp;Revenue'!C$52</f>
        <v>Total</v>
      </c>
      <c r="D55" s="371">
        <f>'Sales&amp;Revenue'!D$52</f>
        <v>2019</v>
      </c>
      <c r="E55" s="371">
        <f>'Sales&amp;Revenue'!E$52</f>
        <v>2020</v>
      </c>
      <c r="F55" s="371">
        <f>'Sales&amp;Revenue'!F$52</f>
        <v>2021</v>
      </c>
      <c r="G55" s="371">
        <f>'Sales&amp;Revenue'!G$52</f>
        <v>2022</v>
      </c>
      <c r="H55" s="371">
        <f>'Sales&amp;Revenue'!H$52</f>
        <v>2023</v>
      </c>
      <c r="I55" s="371">
        <f>'Sales&amp;Revenue'!I$52</f>
        <v>2024</v>
      </c>
      <c r="J55" s="371">
        <f>'Sales&amp;Revenue'!J$52</f>
        <v>2025</v>
      </c>
      <c r="K55" s="371">
        <f>'Sales&amp;Revenue'!K$52</f>
        <v>2026</v>
      </c>
      <c r="L55" s="371">
        <f>'Sales&amp;Revenue'!L$52</f>
        <v>2027</v>
      </c>
      <c r="M55" s="371">
        <f>'Sales&amp;Revenue'!M$52</f>
        <v>2028</v>
      </c>
      <c r="N55" s="371">
        <f>'Sales&amp;Revenue'!N$52</f>
        <v>2029</v>
      </c>
      <c r="O55" s="371">
        <f>'Sales&amp;Revenue'!O$52</f>
        <v>2030</v>
      </c>
    </row>
    <row r="56" spans="1:15" s="4" customFormat="1" x14ac:dyDescent="0.25">
      <c r="A56" s="102" t="str">
        <f>A29</f>
        <v>Cashstream 2: Capital Costs (for plant and equipment)</v>
      </c>
      <c r="B56" s="385"/>
      <c r="C56" s="183"/>
      <c r="D56" s="171">
        <f>-D29</f>
        <v>-315</v>
      </c>
      <c r="E56" s="171">
        <f t="shared" ref="E56:O56" si="15">-E29</f>
        <v>-275</v>
      </c>
      <c r="F56" s="171">
        <f t="shared" si="15"/>
        <v>-175</v>
      </c>
      <c r="G56" s="171">
        <f t="shared" si="15"/>
        <v>-55</v>
      </c>
      <c r="H56" s="171">
        <f t="shared" si="15"/>
        <v>-55</v>
      </c>
      <c r="I56" s="171">
        <f t="shared" si="15"/>
        <v>-55</v>
      </c>
      <c r="J56" s="171">
        <f t="shared" si="15"/>
        <v>-55</v>
      </c>
      <c r="K56" s="171">
        <f t="shared" si="15"/>
        <v>-55</v>
      </c>
      <c r="L56" s="171">
        <f t="shared" si="15"/>
        <v>-55</v>
      </c>
      <c r="M56" s="171">
        <f t="shared" si="15"/>
        <v>-55</v>
      </c>
      <c r="N56" s="171">
        <f t="shared" si="15"/>
        <v>0</v>
      </c>
      <c r="O56" s="171">
        <f t="shared" si="15"/>
        <v>0</v>
      </c>
    </row>
    <row r="57" spans="1:15" s="4" customFormat="1" x14ac:dyDescent="0.25">
      <c r="A57" s="102" t="str">
        <f t="shared" ref="A57:A58" si="16">A30</f>
        <v>Cashstream 3: Operating Costs  (incl creditors)</v>
      </c>
      <c r="B57" s="385"/>
      <c r="C57" s="183"/>
      <c r="D57" s="171">
        <f>-D30</f>
        <v>-1730.8677056483393</v>
      </c>
      <c r="E57" s="171">
        <f t="shared" ref="E57:O57" si="17">-E30</f>
        <v>-1693.9959198911617</v>
      </c>
      <c r="F57" s="171">
        <f t="shared" si="17"/>
        <v>-1814.8137614392947</v>
      </c>
      <c r="G57" s="171">
        <f t="shared" si="17"/>
        <v>-2074.8339722629239</v>
      </c>
      <c r="H57" s="171">
        <f t="shared" si="17"/>
        <v>-2438.4768972027</v>
      </c>
      <c r="I57" s="171">
        <f t="shared" si="17"/>
        <v>-2886.3581142229659</v>
      </c>
      <c r="J57" s="171">
        <f t="shared" si="17"/>
        <v>-3150.0269408689842</v>
      </c>
      <c r="K57" s="171">
        <f t="shared" si="17"/>
        <v>-3197.9091132362173</v>
      </c>
      <c r="L57" s="171">
        <f t="shared" si="17"/>
        <v>-3242.2446210239732</v>
      </c>
      <c r="M57" s="171">
        <f t="shared" si="17"/>
        <v>-2951.3235187842661</v>
      </c>
      <c r="N57" s="171">
        <f t="shared" si="17"/>
        <v>-253.83846567023539</v>
      </c>
      <c r="O57" s="171">
        <f t="shared" si="17"/>
        <v>0</v>
      </c>
    </row>
    <row r="58" spans="1:15" s="4" customFormat="1" x14ac:dyDescent="0.25">
      <c r="A58" s="102" t="str">
        <f t="shared" si="16"/>
        <v>Cashstream 4: Taxes</v>
      </c>
      <c r="B58" s="385"/>
      <c r="C58" s="183"/>
      <c r="D58" s="171">
        <f>-D31</f>
        <v>0.55639252801991645</v>
      </c>
      <c r="E58" s="171">
        <f t="shared" ref="E58:O58" si="18">-E31</f>
        <v>-24.98051023246158</v>
      </c>
      <c r="F58" s="171">
        <f t="shared" si="18"/>
        <v>-36.782534674926481</v>
      </c>
      <c r="G58" s="171">
        <f t="shared" si="18"/>
        <v>-75.758380883933782</v>
      </c>
      <c r="H58" s="171">
        <f t="shared" si="18"/>
        <v>-131.30462592497753</v>
      </c>
      <c r="I58" s="171">
        <f t="shared" si="18"/>
        <v>-191.99961158477606</v>
      </c>
      <c r="J58" s="171">
        <f t="shared" si="18"/>
        <v>-226.63782890308698</v>
      </c>
      <c r="K58" s="171">
        <f t="shared" si="18"/>
        <v>-232.13818079842304</v>
      </c>
      <c r="L58" s="171">
        <f t="shared" si="18"/>
        <v>-232.46826304794223</v>
      </c>
      <c r="M58" s="171">
        <f t="shared" si="18"/>
        <v>-254.34904347440346</v>
      </c>
      <c r="N58" s="171">
        <f t="shared" si="18"/>
        <v>0</v>
      </c>
      <c r="O58" s="171">
        <f t="shared" si="18"/>
        <v>0</v>
      </c>
    </row>
    <row r="59" spans="1:15" s="4" customFormat="1" x14ac:dyDescent="0.25">
      <c r="A59" s="101" t="s">
        <v>11</v>
      </c>
      <c r="B59" s="385"/>
      <c r="C59" s="183"/>
      <c r="D59" s="171">
        <f t="shared" ref="D59:M59" si="19">IF(D32&gt;0,D32,0)</f>
        <v>0</v>
      </c>
      <c r="E59" s="171">
        <f t="shared" si="19"/>
        <v>0</v>
      </c>
      <c r="F59" s="171">
        <f t="shared" si="19"/>
        <v>45.467297365231161</v>
      </c>
      <c r="G59" s="171">
        <f t="shared" si="19"/>
        <v>205.49251740064983</v>
      </c>
      <c r="H59" s="171">
        <f t="shared" si="19"/>
        <v>311.86521629330309</v>
      </c>
      <c r="I59" s="171">
        <f t="shared" si="19"/>
        <v>455.60201749368707</v>
      </c>
      <c r="J59" s="171">
        <f t="shared" si="19"/>
        <v>546.44580925612854</v>
      </c>
      <c r="K59" s="171">
        <f t="shared" si="19"/>
        <v>563.50871084560549</v>
      </c>
      <c r="L59" s="171">
        <f t="shared" si="19"/>
        <v>564.4680762998164</v>
      </c>
      <c r="M59" s="171">
        <f t="shared" si="19"/>
        <v>879.7892840575355</v>
      </c>
      <c r="N59" s="171">
        <f t="shared" ref="N59:O59" si="20">IF(N32&gt;0,N32,0)</f>
        <v>88.394366896759664</v>
      </c>
      <c r="O59" s="171">
        <f t="shared" si="20"/>
        <v>0</v>
      </c>
    </row>
    <row r="60" spans="1:15" s="4" customFormat="1" x14ac:dyDescent="0.25">
      <c r="A60" s="101" t="s">
        <v>12</v>
      </c>
      <c r="B60" s="385"/>
      <c r="C60" s="183"/>
      <c r="D60" s="171">
        <f t="shared" ref="D60:M60" si="21">IF(D32&lt;0,-D32,0)</f>
        <v>303.31131312031948</v>
      </c>
      <c r="E60" s="171">
        <f t="shared" si="21"/>
        <v>75.546389027732857</v>
      </c>
      <c r="F60" s="171">
        <f t="shared" si="21"/>
        <v>0</v>
      </c>
      <c r="G60" s="171">
        <f t="shared" si="21"/>
        <v>0</v>
      </c>
      <c r="H60" s="171">
        <f t="shared" si="21"/>
        <v>0</v>
      </c>
      <c r="I60" s="171">
        <f t="shared" si="21"/>
        <v>0</v>
      </c>
      <c r="J60" s="171">
        <f t="shared" si="21"/>
        <v>0</v>
      </c>
      <c r="K60" s="171">
        <f t="shared" si="21"/>
        <v>0</v>
      </c>
      <c r="L60" s="171">
        <f t="shared" si="21"/>
        <v>0</v>
      </c>
      <c r="M60" s="171">
        <f t="shared" si="21"/>
        <v>0</v>
      </c>
      <c r="N60" s="171">
        <f t="shared" ref="N60:O60" si="22">IF(N32&lt;0,-N32,0)</f>
        <v>0</v>
      </c>
      <c r="O60" s="171">
        <f t="shared" si="22"/>
        <v>0</v>
      </c>
    </row>
    <row r="97" spans="1:1" x14ac:dyDescent="0.25">
      <c r="A97" s="8" t="s">
        <v>424</v>
      </c>
    </row>
    <row r="98" spans="1:1" x14ac:dyDescent="0.25">
      <c r="A98" s="492" t="s">
        <v>428</v>
      </c>
    </row>
    <row r="111" spans="1:1" x14ac:dyDescent="0.25">
      <c r="A111" s="8" t="s">
        <v>425</v>
      </c>
    </row>
    <row r="112" spans="1:1" x14ac:dyDescent="0.25">
      <c r="A112" s="8" t="s">
        <v>426</v>
      </c>
    </row>
    <row r="114" spans="1:1" x14ac:dyDescent="0.25">
      <c r="A114" s="492" t="s">
        <v>427</v>
      </c>
    </row>
  </sheetData>
  <pageMargins left="0.70866141732283472" right="0.70866141732283472" top="0.74803149606299213" bottom="0.74803149606299213" header="0.31496062992125984" footer="0.31496062992125984"/>
  <pageSetup paperSize="9"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14"/>
  <sheetViews>
    <sheetView zoomScale="60" zoomScaleNormal="60" workbookViewId="0">
      <selection activeCell="R9" sqref="R9"/>
    </sheetView>
  </sheetViews>
  <sheetFormatPr defaultColWidth="8.85546875" defaultRowHeight="15.75" x14ac:dyDescent="0.25"/>
  <cols>
    <col min="1" max="1" width="57.85546875" style="8" customWidth="1"/>
    <col min="2" max="2" width="21.85546875" style="14" customWidth="1"/>
    <col min="3" max="3" width="19.7109375" style="1" customWidth="1"/>
    <col min="4" max="15" width="13.85546875" style="4" customWidth="1"/>
    <col min="16" max="16384" width="8.85546875" style="8"/>
  </cols>
  <sheetData>
    <row r="1" spans="1:15" s="33" customFormat="1" ht="30.75" customHeight="1" x14ac:dyDescent="0.25">
      <c r="A1" s="61" t="str">
        <f>'Intro, Audits &amp; Log'!A1</f>
        <v>Business Model of 'Social Enterprise ABC' incl funding and accounting 10 years - Base Case</v>
      </c>
      <c r="B1" s="274"/>
      <c r="C1" s="32"/>
      <c r="D1" s="32"/>
    </row>
    <row r="2" spans="1:15" s="34" customFormat="1" ht="36" x14ac:dyDescent="0.25">
      <c r="A2" s="151" t="s">
        <v>251</v>
      </c>
      <c r="B2" s="29"/>
      <c r="C2" s="7"/>
      <c r="D2" s="33"/>
      <c r="E2" s="33"/>
      <c r="F2" s="33"/>
      <c r="G2" s="33"/>
      <c r="H2" s="33"/>
      <c r="I2" s="33"/>
      <c r="J2" s="33"/>
      <c r="K2" s="33"/>
      <c r="L2" s="33"/>
      <c r="M2" s="33"/>
      <c r="N2" s="33"/>
      <c r="O2" s="33"/>
    </row>
    <row r="3" spans="1:15" s="34" customFormat="1" ht="34.35" customHeight="1" x14ac:dyDescent="0.25">
      <c r="A3" s="154" t="s">
        <v>377</v>
      </c>
      <c r="B3" s="29"/>
      <c r="C3" s="7"/>
      <c r="D3" s="33"/>
      <c r="E3" s="33"/>
      <c r="F3" s="33"/>
      <c r="G3" s="33"/>
      <c r="H3" s="33"/>
      <c r="I3" s="33"/>
      <c r="J3" s="33"/>
      <c r="K3" s="33"/>
      <c r="L3" s="33"/>
      <c r="M3" s="33"/>
      <c r="N3" s="33"/>
      <c r="O3" s="33"/>
    </row>
    <row r="22" spans="1:15" ht="17.25" customHeight="1" x14ac:dyDescent="0.25">
      <c r="A22" s="9"/>
      <c r="C22" s="36"/>
    </row>
    <row r="23" spans="1:15" s="83" customFormat="1" ht="49.35" customHeight="1" x14ac:dyDescent="0.25">
      <c r="A23" s="267" t="str">
        <f>'Sales&amp;Revenue'!A$52</f>
        <v>Years --&gt;</v>
      </c>
      <c r="B23" s="275" t="str">
        <f>'Sales&amp;Revenue'!B$52</f>
        <v>units</v>
      </c>
      <c r="C23" s="268" t="str">
        <f>'Sales&amp;Revenue'!C$52</f>
        <v>Total</v>
      </c>
      <c r="D23" s="269">
        <f>'Sales&amp;Revenue'!D$52</f>
        <v>2019</v>
      </c>
      <c r="E23" s="269">
        <f>'Sales&amp;Revenue'!E$52</f>
        <v>2020</v>
      </c>
      <c r="F23" s="269">
        <f>'Sales&amp;Revenue'!F$52</f>
        <v>2021</v>
      </c>
      <c r="G23" s="269">
        <f>'Sales&amp;Revenue'!G$52</f>
        <v>2022</v>
      </c>
      <c r="H23" s="269">
        <f>'Sales&amp;Revenue'!H$52</f>
        <v>2023</v>
      </c>
      <c r="I23" s="269">
        <f>'Sales&amp;Revenue'!I$52</f>
        <v>2024</v>
      </c>
      <c r="J23" s="269">
        <f>'Sales&amp;Revenue'!J$52</f>
        <v>2025</v>
      </c>
      <c r="K23" s="269">
        <f>'Sales&amp;Revenue'!K$52</f>
        <v>2026</v>
      </c>
      <c r="L23" s="269">
        <f>'Sales&amp;Revenue'!L$52</f>
        <v>2027</v>
      </c>
      <c r="M23" s="269">
        <f>'Sales&amp;Revenue'!M$52</f>
        <v>2028</v>
      </c>
      <c r="N23" s="269">
        <f>'Sales&amp;Revenue'!N$52</f>
        <v>2029</v>
      </c>
      <c r="O23" s="269">
        <f>'Sales&amp;Revenue'!O$52</f>
        <v>2030</v>
      </c>
    </row>
    <row r="24" spans="1:15" s="46" customFormat="1" ht="45" customHeight="1" x14ac:dyDescent="0.25">
      <c r="A24" s="87" t="s">
        <v>225</v>
      </c>
      <c r="B24" s="29"/>
      <c r="C24" s="62"/>
      <c r="D24" s="74"/>
      <c r="E24" s="74"/>
      <c r="F24" s="74"/>
      <c r="G24" s="74"/>
      <c r="H24" s="74"/>
      <c r="I24" s="74"/>
      <c r="J24" s="74"/>
      <c r="K24" s="74"/>
      <c r="L24" s="74"/>
      <c r="M24" s="74"/>
      <c r="N24" s="74"/>
      <c r="O24" s="74"/>
    </row>
    <row r="25" spans="1:15" x14ac:dyDescent="0.25">
      <c r="A25" s="43" t="s">
        <v>23</v>
      </c>
      <c r="D25" s="1"/>
      <c r="E25" s="1"/>
      <c r="F25" s="1"/>
      <c r="G25" s="1"/>
      <c r="H25" s="1"/>
      <c r="I25" s="1"/>
      <c r="J25" s="1"/>
      <c r="K25" s="1"/>
      <c r="L25" s="1"/>
      <c r="M25" s="1"/>
      <c r="N25" s="1"/>
      <c r="O25" s="1"/>
    </row>
    <row r="26" spans="1:15" s="198" customFormat="1" x14ac:dyDescent="0.25">
      <c r="A26" s="271" t="str">
        <f>'Sales&amp;Revenue'!A$65</f>
        <v>Total ABC units sold</v>
      </c>
      <c r="B26" s="276" t="str">
        <f>'Sales&amp;Revenue'!B$65</f>
        <v>units</v>
      </c>
      <c r="C26" s="272">
        <f>'Sales&amp;Revenue'!C$65</f>
        <v>735565.2536666526</v>
      </c>
      <c r="D26" s="272">
        <f>'Sales&amp;Revenue'!D$65</f>
        <v>40000</v>
      </c>
      <c r="E26" s="272">
        <f>'Sales&amp;Revenue'!E$65</f>
        <v>42250</v>
      </c>
      <c r="F26" s="272">
        <f>'Sales&amp;Revenue'!F$65</f>
        <v>46475</v>
      </c>
      <c r="G26" s="272">
        <f>'Sales&amp;Revenue'!G$65</f>
        <v>55165</v>
      </c>
      <c r="H26" s="272">
        <f>'Sales&amp;Revenue'!H$65</f>
        <v>68304.500000000015</v>
      </c>
      <c r="I26" s="272">
        <f>'Sales&amp;Revenue'!I$65</f>
        <v>84836.950000000012</v>
      </c>
      <c r="J26" s="272">
        <f>'Sales&amp;Revenue'!J$65</f>
        <v>95260.357500000013</v>
      </c>
      <c r="K26" s="272">
        <f>'Sales&amp;Revenue'!K$65</f>
        <v>98118.168225000016</v>
      </c>
      <c r="L26" s="272">
        <f>'Sales&amp;Revenue'!L$65</f>
        <v>101061.71327175002</v>
      </c>
      <c r="M26" s="272">
        <f>'Sales&amp;Revenue'!M$65</f>
        <v>104093.56466990251</v>
      </c>
      <c r="N26" s="272">
        <f>'Sales&amp;Revenue'!N$65</f>
        <v>0</v>
      </c>
      <c r="O26" s="272">
        <f>'Sales&amp;Revenue'!O$65</f>
        <v>0</v>
      </c>
    </row>
    <row r="27" spans="1:15" s="46" customFormat="1" ht="45" customHeight="1" x14ac:dyDescent="0.25">
      <c r="A27" s="87" t="s">
        <v>256</v>
      </c>
      <c r="B27" s="29"/>
      <c r="C27" s="62"/>
      <c r="D27" s="74"/>
      <c r="E27" s="74"/>
      <c r="F27" s="74"/>
      <c r="G27" s="74"/>
      <c r="H27" s="74"/>
      <c r="I27" s="74"/>
      <c r="J27" s="74"/>
      <c r="K27" s="74"/>
      <c r="L27" s="74"/>
      <c r="M27" s="74"/>
      <c r="N27" s="74"/>
      <c r="O27" s="74"/>
    </row>
    <row r="28" spans="1:15" x14ac:dyDescent="0.25">
      <c r="A28" s="43" t="s">
        <v>371</v>
      </c>
      <c r="B28" s="3"/>
      <c r="D28" s="1"/>
      <c r="E28" s="1"/>
      <c r="F28" s="1"/>
      <c r="G28" s="1"/>
      <c r="H28" s="1"/>
      <c r="I28" s="1"/>
      <c r="J28" s="1"/>
      <c r="K28" s="1"/>
      <c r="L28" s="1"/>
      <c r="M28" s="1"/>
      <c r="N28" s="1"/>
      <c r="O28" s="1"/>
    </row>
    <row r="29" spans="1:15" x14ac:dyDescent="0.25">
      <c r="A29" s="271" t="str">
        <f>'Sales&amp;Revenue'!A124</f>
        <v>Cashstream 1: Revenue (incl debtors)</v>
      </c>
      <c r="B29" s="276" t="str">
        <f>'Sales&amp;Revenue'!B124</f>
        <v>US$ 000  Real</v>
      </c>
      <c r="C29" s="270">
        <f>'Sales&amp;Revenue'!C124</f>
        <v>31272.727211008641</v>
      </c>
      <c r="D29" s="272">
        <f>'Sales&amp;Revenue'!D124</f>
        <v>1742</v>
      </c>
      <c r="E29" s="272">
        <f>'Sales&amp;Revenue'!E124</f>
        <v>1918.4300410958904</v>
      </c>
      <c r="F29" s="272">
        <f>'Sales&amp;Revenue'!F124</f>
        <v>2072.0635934794523</v>
      </c>
      <c r="G29" s="272">
        <f>'Sales&amp;Revenue'!G124</f>
        <v>2411.0848705475073</v>
      </c>
      <c r="H29" s="272">
        <f>'Sales&amp;Revenue'!H124</f>
        <v>2936.6467394209808</v>
      </c>
      <c r="I29" s="272">
        <f>'Sales&amp;Revenue'!I124</f>
        <v>3588.9597433014292</v>
      </c>
      <c r="J29" s="272">
        <f>'Sales&amp;Revenue'!J124</f>
        <v>3978.1105790281995</v>
      </c>
      <c r="K29" s="272">
        <f>'Sales&amp;Revenue'!K124</f>
        <v>4048.5560048802458</v>
      </c>
      <c r="L29" s="272">
        <f>'Sales&amp;Revenue'!L124</f>
        <v>4094.180960371732</v>
      </c>
      <c r="M29" s="272">
        <f>'Sales&amp;Revenue'!M124</f>
        <v>4140.4618463162051</v>
      </c>
      <c r="N29" s="272">
        <f>'Sales&amp;Revenue'!N124</f>
        <v>342.23283256699506</v>
      </c>
      <c r="O29" s="272">
        <f>'Sales&amp;Revenue'!O124</f>
        <v>0</v>
      </c>
    </row>
    <row r="30" spans="1:15" x14ac:dyDescent="0.25">
      <c r="A30" s="271" t="str">
        <f>'Capital &amp; Operating Costs'!A35</f>
        <v>Cashstream 2: Capital Costs (for plant and equipment)</v>
      </c>
      <c r="B30" s="276" t="str">
        <f>'Capital &amp; Operating Costs'!B35</f>
        <v>US$ 000 Real</v>
      </c>
      <c r="C30" s="270">
        <f>'Capital &amp; Operating Costs'!C35</f>
        <v>1150</v>
      </c>
      <c r="D30" s="272">
        <f>'Capital &amp; Operating Costs'!D35</f>
        <v>315</v>
      </c>
      <c r="E30" s="272">
        <f>'Capital &amp; Operating Costs'!E35</f>
        <v>275</v>
      </c>
      <c r="F30" s="272">
        <f>'Capital &amp; Operating Costs'!F35</f>
        <v>175</v>
      </c>
      <c r="G30" s="272">
        <f>'Capital &amp; Operating Costs'!G35</f>
        <v>55</v>
      </c>
      <c r="H30" s="272">
        <f>'Capital &amp; Operating Costs'!H35</f>
        <v>55</v>
      </c>
      <c r="I30" s="272">
        <f>'Capital &amp; Operating Costs'!I35</f>
        <v>55</v>
      </c>
      <c r="J30" s="272">
        <f>'Capital &amp; Operating Costs'!J35</f>
        <v>55</v>
      </c>
      <c r="K30" s="272">
        <f>'Capital &amp; Operating Costs'!K35</f>
        <v>55</v>
      </c>
      <c r="L30" s="272">
        <f>'Capital &amp; Operating Costs'!L35</f>
        <v>55</v>
      </c>
      <c r="M30" s="272">
        <f>'Capital &amp; Operating Costs'!M35</f>
        <v>55</v>
      </c>
      <c r="N30" s="272">
        <f>'Capital &amp; Operating Costs'!N35</f>
        <v>0</v>
      </c>
      <c r="O30" s="272">
        <f>'Capital &amp; Operating Costs'!O35</f>
        <v>0</v>
      </c>
    </row>
    <row r="31" spans="1:15" x14ac:dyDescent="0.25">
      <c r="A31" s="271" t="str">
        <f>'Capital &amp; Operating Costs'!A187</f>
        <v>Cashstream 3: Operating Costs  (incl creditors)</v>
      </c>
      <c r="B31" s="276" t="str">
        <f>'Capital &amp; Operating Costs'!B187</f>
        <v>US$ 000  Real</v>
      </c>
      <c r="C31" s="270">
        <f>'Capital &amp; Operating Costs'!C187</f>
        <v>25434.689030251062</v>
      </c>
      <c r="D31" s="272">
        <f>'Capital &amp; Operating Costs'!D187</f>
        <v>1730.8677056483393</v>
      </c>
      <c r="E31" s="272">
        <f>'Capital &amp; Operating Costs'!E187</f>
        <v>1693.9959198911617</v>
      </c>
      <c r="F31" s="272">
        <f>'Capital &amp; Operating Costs'!F187</f>
        <v>1814.8137614392947</v>
      </c>
      <c r="G31" s="272">
        <f>'Capital &amp; Operating Costs'!G187</f>
        <v>2074.8339722629239</v>
      </c>
      <c r="H31" s="272">
        <f>'Capital &amp; Operating Costs'!H187</f>
        <v>2438.4768972027</v>
      </c>
      <c r="I31" s="272">
        <f>'Capital &amp; Operating Costs'!I187</f>
        <v>2886.3581142229659</v>
      </c>
      <c r="J31" s="272">
        <f>'Capital &amp; Operating Costs'!J187</f>
        <v>3150.0269408689842</v>
      </c>
      <c r="K31" s="272">
        <f>'Capital &amp; Operating Costs'!K187</f>
        <v>3197.9091132362173</v>
      </c>
      <c r="L31" s="272">
        <f>'Capital &amp; Operating Costs'!L187</f>
        <v>3242.2446210239732</v>
      </c>
      <c r="M31" s="272">
        <f>'Capital &amp; Operating Costs'!M187</f>
        <v>2951.3235187842661</v>
      </c>
      <c r="N31" s="272">
        <f>'Capital &amp; Operating Costs'!N187</f>
        <v>253.83846567023539</v>
      </c>
      <c r="O31" s="272">
        <f>'Capital &amp; Operating Costs'!O187</f>
        <v>0</v>
      </c>
    </row>
    <row r="32" spans="1:15" x14ac:dyDescent="0.25">
      <c r="A32" s="271" t="str">
        <f>Taxes!A81</f>
        <v>Cashstream 4: Taxes</v>
      </c>
      <c r="B32" s="276" t="str">
        <f>Taxes!B81</f>
        <v>US$ 000 Real</v>
      </c>
      <c r="C32" s="270">
        <f>Taxes!C81</f>
        <v>1405.8625869969112</v>
      </c>
      <c r="D32" s="272">
        <f>Taxes!D81</f>
        <v>-0.55639252801991645</v>
      </c>
      <c r="E32" s="272">
        <f>Taxes!E81</f>
        <v>24.98051023246158</v>
      </c>
      <c r="F32" s="272">
        <f>Taxes!F81</f>
        <v>36.782534674926481</v>
      </c>
      <c r="G32" s="272">
        <f>Taxes!G81</f>
        <v>75.758380883933782</v>
      </c>
      <c r="H32" s="272">
        <f>Taxes!H81</f>
        <v>131.30462592497753</v>
      </c>
      <c r="I32" s="272">
        <f>Taxes!I81</f>
        <v>191.99961158477606</v>
      </c>
      <c r="J32" s="272">
        <f>Taxes!J81</f>
        <v>226.63782890308698</v>
      </c>
      <c r="K32" s="272">
        <f>Taxes!K81</f>
        <v>232.13818079842304</v>
      </c>
      <c r="L32" s="272">
        <f>Taxes!L81</f>
        <v>232.46826304794223</v>
      </c>
      <c r="M32" s="272">
        <f>Taxes!M81</f>
        <v>254.34904347440346</v>
      </c>
      <c r="N32" s="272">
        <f>Taxes!N81</f>
        <v>0</v>
      </c>
      <c r="O32" s="272">
        <f>Taxes!O81</f>
        <v>0</v>
      </c>
    </row>
    <row r="33" spans="1:15" s="147" customFormat="1" ht="17.45" customHeight="1" x14ac:dyDescent="0.25">
      <c r="A33" s="149" t="s">
        <v>68</v>
      </c>
      <c r="B33" s="29" t="s">
        <v>24</v>
      </c>
      <c r="C33" s="432">
        <f>SUM(D33:O33)</f>
        <v>3282.1755937606645</v>
      </c>
      <c r="D33" s="433">
        <f t="shared" ref="D33:O33" si="0">D29-SUM(D30:D32)</f>
        <v>-303.31131312031948</v>
      </c>
      <c r="E33" s="433">
        <f t="shared" si="0"/>
        <v>-75.546389027732857</v>
      </c>
      <c r="F33" s="433">
        <f t="shared" si="0"/>
        <v>45.467297365231161</v>
      </c>
      <c r="G33" s="433">
        <f t="shared" si="0"/>
        <v>205.49251740064983</v>
      </c>
      <c r="H33" s="433">
        <f t="shared" si="0"/>
        <v>311.86521629330309</v>
      </c>
      <c r="I33" s="433">
        <f t="shared" si="0"/>
        <v>455.60201749368707</v>
      </c>
      <c r="J33" s="433">
        <f t="shared" si="0"/>
        <v>546.44580925612854</v>
      </c>
      <c r="K33" s="433">
        <f t="shared" si="0"/>
        <v>563.50871084560549</v>
      </c>
      <c r="L33" s="433">
        <f t="shared" si="0"/>
        <v>564.4680762998164</v>
      </c>
      <c r="M33" s="433">
        <f t="shared" si="0"/>
        <v>879.7892840575355</v>
      </c>
      <c r="N33" s="433">
        <f t="shared" si="0"/>
        <v>88.394366896759664</v>
      </c>
      <c r="O33" s="433">
        <f t="shared" si="0"/>
        <v>0</v>
      </c>
    </row>
    <row r="34" spans="1:15" s="134" customFormat="1" ht="38.25" customHeight="1" x14ac:dyDescent="0.35">
      <c r="A34" s="328" t="s">
        <v>267</v>
      </c>
      <c r="B34" s="282"/>
      <c r="C34" s="135"/>
      <c r="D34" s="127"/>
      <c r="E34" s="127"/>
      <c r="F34" s="127"/>
      <c r="G34" s="127"/>
      <c r="H34" s="127"/>
      <c r="I34" s="127"/>
      <c r="J34" s="127"/>
      <c r="K34" s="127"/>
      <c r="L34" s="127"/>
      <c r="M34" s="127"/>
      <c r="N34" s="127"/>
      <c r="O34" s="127"/>
    </row>
    <row r="35" spans="1:15" s="129" customFormat="1" ht="16.5" thickBot="1" x14ac:dyDescent="0.3">
      <c r="A35" s="126" t="s">
        <v>66</v>
      </c>
      <c r="B35" s="277"/>
      <c r="C35" s="127"/>
      <c r="D35" s="128">
        <v>0.02</v>
      </c>
      <c r="E35" s="128">
        <f>D35</f>
        <v>0.02</v>
      </c>
      <c r="F35" s="128">
        <f t="shared" ref="F35:O35" si="1">E35</f>
        <v>0.02</v>
      </c>
      <c r="G35" s="128">
        <f t="shared" si="1"/>
        <v>0.02</v>
      </c>
      <c r="H35" s="128">
        <f t="shared" si="1"/>
        <v>0.02</v>
      </c>
      <c r="I35" s="128">
        <f t="shared" si="1"/>
        <v>0.02</v>
      </c>
      <c r="J35" s="128">
        <f t="shared" si="1"/>
        <v>0.02</v>
      </c>
      <c r="K35" s="128">
        <f t="shared" si="1"/>
        <v>0.02</v>
      </c>
      <c r="L35" s="128">
        <f t="shared" si="1"/>
        <v>0.02</v>
      </c>
      <c r="M35" s="128">
        <f t="shared" si="1"/>
        <v>0.02</v>
      </c>
      <c r="N35" s="128">
        <f t="shared" si="1"/>
        <v>0.02</v>
      </c>
      <c r="O35" s="128">
        <f t="shared" si="1"/>
        <v>0.02</v>
      </c>
    </row>
    <row r="36" spans="1:15" s="130" customFormat="1" ht="16.5" thickBot="1" x14ac:dyDescent="0.3">
      <c r="A36" s="130" t="s">
        <v>67</v>
      </c>
      <c r="B36" s="278"/>
      <c r="C36" s="131"/>
      <c r="D36" s="417">
        <f>(1+D35)^0.5</f>
        <v>1.0099504938362078</v>
      </c>
      <c r="E36" s="132">
        <f t="shared" ref="E36:O36" si="2">D36*(1+E35)</f>
        <v>1.030149503712932</v>
      </c>
      <c r="F36" s="132">
        <f t="shared" si="2"/>
        <v>1.0507524937871906</v>
      </c>
      <c r="G36" s="132">
        <f t="shared" si="2"/>
        <v>1.0717675436629344</v>
      </c>
      <c r="H36" s="132">
        <f t="shared" si="2"/>
        <v>1.0932028945361931</v>
      </c>
      <c r="I36" s="132">
        <f t="shared" si="2"/>
        <v>1.115066952426917</v>
      </c>
      <c r="J36" s="132">
        <f t="shared" si="2"/>
        <v>1.1373682914754553</v>
      </c>
      <c r="K36" s="132">
        <f t="shared" si="2"/>
        <v>1.1601156573049645</v>
      </c>
      <c r="L36" s="132">
        <f t="shared" si="2"/>
        <v>1.1833179704510637</v>
      </c>
      <c r="M36" s="132">
        <f t="shared" si="2"/>
        <v>1.2069843298600851</v>
      </c>
      <c r="N36" s="132">
        <f t="shared" si="2"/>
        <v>1.2311240164572868</v>
      </c>
      <c r="O36" s="132">
        <f t="shared" si="2"/>
        <v>1.2557464967864325</v>
      </c>
    </row>
    <row r="37" spans="1:15" s="168" customFormat="1" ht="35.25" customHeight="1" thickBot="1" x14ac:dyDescent="0.3">
      <c r="A37" s="331" t="s">
        <v>274</v>
      </c>
      <c r="B37" s="279" t="s">
        <v>73</v>
      </c>
      <c r="C37" s="169">
        <f>SUM(D37:O37)</f>
        <v>3846.7272522061339</v>
      </c>
      <c r="D37" s="329">
        <f t="shared" ref="D37:O37" si="3">D33*D36</f>
        <v>-306.32941047197534</v>
      </c>
      <c r="E37" s="330">
        <f t="shared" si="3"/>
        <v>-77.824075164223089</v>
      </c>
      <c r="F37" s="330">
        <f t="shared" si="3"/>
        <v>47.774876092280401</v>
      </c>
      <c r="G37" s="330">
        <f t="shared" si="3"/>
        <v>220.24021061560725</v>
      </c>
      <c r="H37" s="330">
        <f t="shared" si="3"/>
        <v>340.93195715699488</v>
      </c>
      <c r="I37" s="330">
        <f t="shared" si="3"/>
        <v>508.02675316624055</v>
      </c>
      <c r="J37" s="330">
        <f t="shared" si="3"/>
        <v>621.51013645756541</v>
      </c>
      <c r="K37" s="330">
        <f t="shared" si="3"/>
        <v>653.73527847972275</v>
      </c>
      <c r="L37" s="330">
        <f t="shared" si="3"/>
        <v>667.94521843151495</v>
      </c>
      <c r="M37" s="330">
        <f t="shared" si="3"/>
        <v>1061.8918794362685</v>
      </c>
      <c r="N37" s="330">
        <f t="shared" si="3"/>
        <v>108.82442800613779</v>
      </c>
      <c r="O37" s="330">
        <f t="shared" si="3"/>
        <v>0</v>
      </c>
    </row>
    <row r="38" spans="1:15" s="134" customFormat="1" ht="39.75" customHeight="1" x14ac:dyDescent="0.35">
      <c r="A38" s="328" t="s">
        <v>266</v>
      </c>
      <c r="B38" s="282"/>
      <c r="C38" s="135"/>
      <c r="D38" s="127"/>
      <c r="E38" s="127"/>
      <c r="F38" s="127"/>
      <c r="G38" s="127"/>
      <c r="H38" s="127"/>
      <c r="I38" s="127"/>
      <c r="J38" s="127"/>
      <c r="K38" s="127"/>
      <c r="L38" s="127"/>
      <c r="M38" s="127"/>
      <c r="N38" s="127"/>
      <c r="O38" s="127"/>
    </row>
    <row r="39" spans="1:15" s="188" customFormat="1" ht="23.25" x14ac:dyDescent="0.35">
      <c r="A39" s="429" t="s">
        <v>89</v>
      </c>
      <c r="B39" s="279" t="s">
        <v>73</v>
      </c>
      <c r="C39" s="169">
        <f>SUM(D39:O39)</f>
        <v>-384.15348563619841</v>
      </c>
      <c r="D39" s="430">
        <f t="shared" ref="D39:O39" si="4">IF(D37&lt;0,D37,0)</f>
        <v>-306.32941047197534</v>
      </c>
      <c r="E39" s="430">
        <f t="shared" si="4"/>
        <v>-77.824075164223089</v>
      </c>
      <c r="F39" s="430">
        <f t="shared" si="4"/>
        <v>0</v>
      </c>
      <c r="G39" s="430">
        <f t="shared" si="4"/>
        <v>0</v>
      </c>
      <c r="H39" s="430">
        <f t="shared" si="4"/>
        <v>0</v>
      </c>
      <c r="I39" s="430">
        <f t="shared" si="4"/>
        <v>0</v>
      </c>
      <c r="J39" s="430">
        <f t="shared" si="4"/>
        <v>0</v>
      </c>
      <c r="K39" s="430">
        <f t="shared" si="4"/>
        <v>0</v>
      </c>
      <c r="L39" s="430">
        <f t="shared" si="4"/>
        <v>0</v>
      </c>
      <c r="M39" s="430">
        <f t="shared" si="4"/>
        <v>0</v>
      </c>
      <c r="N39" s="430">
        <f t="shared" si="4"/>
        <v>0</v>
      </c>
      <c r="O39" s="430">
        <f t="shared" si="4"/>
        <v>0</v>
      </c>
    </row>
    <row r="40" spans="1:15" s="188" customFormat="1" ht="23.25" x14ac:dyDescent="0.35">
      <c r="A40" s="187"/>
      <c r="B40" s="292"/>
      <c r="C40" s="169"/>
      <c r="D40" s="297"/>
      <c r="E40" s="297"/>
      <c r="F40" s="297"/>
      <c r="G40" s="297"/>
      <c r="H40" s="297"/>
      <c r="I40" s="297"/>
      <c r="J40" s="297"/>
      <c r="K40" s="297"/>
      <c r="L40" s="297"/>
      <c r="M40" s="297"/>
      <c r="N40" s="297"/>
      <c r="O40" s="297"/>
    </row>
    <row r="41" spans="1:15" s="296" customFormat="1" ht="61.35" customHeight="1" x14ac:dyDescent="0.25">
      <c r="A41" s="293" t="s">
        <v>254</v>
      </c>
      <c r="B41" s="189"/>
      <c r="C41" s="294"/>
      <c r="D41" s="295"/>
      <c r="E41" s="295"/>
      <c r="F41" s="295"/>
      <c r="G41" s="295"/>
      <c r="H41" s="295"/>
      <c r="I41" s="295"/>
      <c r="J41" s="295"/>
      <c r="K41" s="295"/>
      <c r="L41" s="295"/>
      <c r="M41" s="295"/>
      <c r="N41" s="295"/>
      <c r="O41" s="295"/>
    </row>
    <row r="42" spans="1:15" s="134" customFormat="1" ht="23.25" x14ac:dyDescent="0.35">
      <c r="A42" s="152" t="s">
        <v>252</v>
      </c>
      <c r="B42" s="282"/>
      <c r="C42" s="135"/>
      <c r="D42" s="127"/>
      <c r="E42" s="127"/>
      <c r="F42" s="127"/>
      <c r="G42" s="127"/>
      <c r="H42" s="127"/>
      <c r="I42" s="127"/>
      <c r="J42" s="127"/>
      <c r="K42" s="127"/>
      <c r="L42" s="127"/>
      <c r="M42" s="127"/>
      <c r="N42" s="127"/>
      <c r="O42" s="127"/>
    </row>
    <row r="43" spans="1:15" s="134" customFormat="1" x14ac:dyDescent="0.25">
      <c r="A43" s="148" t="s">
        <v>378</v>
      </c>
      <c r="B43" s="282"/>
      <c r="C43" s="135"/>
      <c r="D43" s="127"/>
      <c r="E43" s="127"/>
      <c r="F43" s="127"/>
      <c r="G43" s="127"/>
      <c r="H43" s="127"/>
      <c r="I43" s="127"/>
      <c r="J43" s="127"/>
      <c r="K43" s="127"/>
      <c r="L43" s="127"/>
      <c r="M43" s="127"/>
      <c r="N43" s="127"/>
      <c r="O43" s="127"/>
    </row>
    <row r="44" spans="1:15" s="141" customFormat="1" x14ac:dyDescent="0.25">
      <c r="A44" s="139" t="s">
        <v>253</v>
      </c>
      <c r="B44" s="277" t="s">
        <v>73</v>
      </c>
      <c r="C44" s="135"/>
      <c r="D44" s="140">
        <v>100</v>
      </c>
      <c r="E44" s="140">
        <f>D44</f>
        <v>100</v>
      </c>
      <c r="F44" s="140">
        <f t="shared" ref="F44:O44" si="5">E44</f>
        <v>100</v>
      </c>
      <c r="G44" s="140">
        <f t="shared" si="5"/>
        <v>100</v>
      </c>
      <c r="H44" s="140">
        <f t="shared" si="5"/>
        <v>100</v>
      </c>
      <c r="I44" s="140">
        <f t="shared" si="5"/>
        <v>100</v>
      </c>
      <c r="J44" s="140">
        <f t="shared" si="5"/>
        <v>100</v>
      </c>
      <c r="K44" s="140">
        <f t="shared" si="5"/>
        <v>100</v>
      </c>
      <c r="L44" s="140">
        <f t="shared" si="5"/>
        <v>100</v>
      </c>
      <c r="M44" s="140">
        <f t="shared" si="5"/>
        <v>100</v>
      </c>
      <c r="N44" s="140">
        <f t="shared" si="5"/>
        <v>100</v>
      </c>
      <c r="O44" s="140">
        <f t="shared" si="5"/>
        <v>100</v>
      </c>
    </row>
    <row r="45" spans="1:15" s="332" customFormat="1" ht="23.25" x14ac:dyDescent="0.25">
      <c r="A45" s="335" t="str">
        <f>A42</f>
        <v>4 a. Donations</v>
      </c>
      <c r="B45" s="333" t="s">
        <v>74</v>
      </c>
      <c r="C45" s="133">
        <f>SUM(D45:O45)</f>
        <v>100</v>
      </c>
      <c r="D45" s="334">
        <f>IF(D33&gt;0,D44,0)</f>
        <v>0</v>
      </c>
      <c r="E45" s="334">
        <f>IF(AND(SUM($D45:D45)=0,E33&gt;0),E44,0)</f>
        <v>0</v>
      </c>
      <c r="F45" s="334">
        <f>IF(AND(SUM($D45:E45)=0,F33&gt;0),F44,0)</f>
        <v>100</v>
      </c>
      <c r="G45" s="334">
        <f>IF(AND(SUM($D45:F45)=0,G33&gt;0),G44,0)</f>
        <v>0</v>
      </c>
      <c r="H45" s="334">
        <f>IF(AND(SUM($D45:G45)=0,H33&gt;0),H44,0)</f>
        <v>0</v>
      </c>
      <c r="I45" s="334">
        <f>IF(AND(SUM($D45:H45)=0,I33&gt;0),I44,0)</f>
        <v>0</v>
      </c>
      <c r="J45" s="334">
        <f>IF(AND(SUM($D45:I45)=0,J33&gt;0),J44,0)</f>
        <v>0</v>
      </c>
      <c r="K45" s="334">
        <f>IF(AND(SUM($D45:J45)=0,K33&gt;0),K44,0)</f>
        <v>0</v>
      </c>
      <c r="L45" s="334">
        <f>IF(AND(SUM($D45:K45)=0,L33&gt;0),L44,0)</f>
        <v>0</v>
      </c>
      <c r="M45" s="334">
        <f>IF(AND(SUM($D45:L45)=0,M33&gt;0),M44,0)</f>
        <v>0</v>
      </c>
      <c r="N45" s="334">
        <f>IF(AND(SUM($D45:M45)=0,N33&gt;0),N44,0)</f>
        <v>0</v>
      </c>
      <c r="O45" s="334">
        <f>IF(AND(SUM($D45:N45)=0,O33&gt;0),O44,0)</f>
        <v>0</v>
      </c>
    </row>
    <row r="46" spans="1:15" s="324" customFormat="1" ht="25.5" customHeight="1" x14ac:dyDescent="0.25">
      <c r="A46" s="324" t="s">
        <v>255</v>
      </c>
      <c r="B46" s="279" t="s">
        <v>74</v>
      </c>
      <c r="C46" s="325">
        <f>SUM(D46:O46)</f>
        <v>3946.7272522061339</v>
      </c>
      <c r="D46" s="431">
        <f>D37+D45</f>
        <v>-306.32941047197534</v>
      </c>
      <c r="E46" s="431">
        <f t="shared" ref="E46:O46" si="6">E37+E45</f>
        <v>-77.824075164223089</v>
      </c>
      <c r="F46" s="431">
        <f t="shared" si="6"/>
        <v>147.77487609228041</v>
      </c>
      <c r="G46" s="431">
        <f t="shared" si="6"/>
        <v>220.24021061560725</v>
      </c>
      <c r="H46" s="431">
        <f t="shared" si="6"/>
        <v>340.93195715699488</v>
      </c>
      <c r="I46" s="431">
        <f t="shared" si="6"/>
        <v>508.02675316624055</v>
      </c>
      <c r="J46" s="431">
        <f t="shared" si="6"/>
        <v>621.51013645756541</v>
      </c>
      <c r="K46" s="431">
        <f t="shared" si="6"/>
        <v>653.73527847972275</v>
      </c>
      <c r="L46" s="431">
        <f t="shared" si="6"/>
        <v>667.94521843151495</v>
      </c>
      <c r="M46" s="431">
        <f t="shared" si="6"/>
        <v>1061.8918794362685</v>
      </c>
      <c r="N46" s="431">
        <f t="shared" si="6"/>
        <v>108.82442800613779</v>
      </c>
      <c r="O46" s="431">
        <f t="shared" si="6"/>
        <v>0</v>
      </c>
    </row>
    <row r="47" spans="1:15" s="134" customFormat="1" x14ac:dyDescent="0.25">
      <c r="A47" s="148"/>
      <c r="B47" s="280"/>
      <c r="C47" s="127"/>
      <c r="D47" s="127"/>
      <c r="E47" s="127"/>
      <c r="F47" s="127"/>
      <c r="G47" s="127"/>
      <c r="H47" s="127"/>
      <c r="I47" s="127"/>
      <c r="J47" s="127"/>
      <c r="K47" s="127"/>
      <c r="L47" s="127"/>
      <c r="M47" s="127"/>
      <c r="N47" s="127"/>
      <c r="O47" s="127"/>
    </row>
    <row r="48" spans="1:15" s="134" customFormat="1" ht="23.25" x14ac:dyDescent="0.35">
      <c r="A48" s="152" t="s">
        <v>87</v>
      </c>
      <c r="B48" s="282"/>
      <c r="C48" s="135"/>
      <c r="D48" s="127"/>
      <c r="E48" s="127"/>
      <c r="F48" s="127"/>
      <c r="G48" s="127"/>
      <c r="H48" s="127"/>
      <c r="I48" s="127"/>
      <c r="J48" s="127"/>
      <c r="K48" s="127"/>
      <c r="L48" s="127"/>
      <c r="M48" s="127"/>
      <c r="N48" s="127"/>
      <c r="O48" s="127"/>
    </row>
    <row r="49" spans="1:15" s="134" customFormat="1" x14ac:dyDescent="0.25">
      <c r="A49" s="148" t="s">
        <v>379</v>
      </c>
      <c r="B49" s="282"/>
      <c r="C49" s="135"/>
      <c r="D49" s="127"/>
      <c r="E49" s="127"/>
      <c r="F49" s="127"/>
      <c r="G49" s="127"/>
      <c r="H49" s="127"/>
      <c r="I49" s="127"/>
      <c r="J49" s="127"/>
      <c r="K49" s="127"/>
      <c r="L49" s="127"/>
      <c r="M49" s="127"/>
      <c r="N49" s="127"/>
      <c r="O49" s="127"/>
    </row>
    <row r="50" spans="1:15" s="141" customFormat="1" x14ac:dyDescent="0.25">
      <c r="A50" s="139" t="s">
        <v>380</v>
      </c>
      <c r="B50" s="277" t="s">
        <v>73</v>
      </c>
      <c r="C50" s="135"/>
      <c r="D50" s="140">
        <v>250</v>
      </c>
      <c r="E50" s="140">
        <v>250</v>
      </c>
      <c r="F50" s="140">
        <v>250</v>
      </c>
      <c r="G50" s="140"/>
      <c r="H50" s="140"/>
      <c r="I50" s="140"/>
      <c r="J50" s="140"/>
      <c r="K50" s="140"/>
      <c r="L50" s="140"/>
      <c r="M50" s="140"/>
      <c r="N50" s="140"/>
      <c r="O50" s="140"/>
    </row>
    <row r="51" spans="1:15" s="141" customFormat="1" x14ac:dyDescent="0.25">
      <c r="A51" s="139" t="s">
        <v>82</v>
      </c>
      <c r="B51" s="277" t="s">
        <v>74</v>
      </c>
      <c r="C51" s="135"/>
      <c r="D51" s="142">
        <v>0.5</v>
      </c>
      <c r="E51" s="142">
        <f>D51</f>
        <v>0.5</v>
      </c>
      <c r="F51" s="142">
        <f t="shared" ref="F51" si="7">E51</f>
        <v>0.5</v>
      </c>
      <c r="G51" s="142"/>
      <c r="H51" s="142"/>
      <c r="I51" s="142"/>
      <c r="J51" s="142"/>
      <c r="K51" s="142"/>
      <c r="L51" s="142"/>
      <c r="M51" s="142"/>
      <c r="N51" s="142"/>
      <c r="O51" s="142"/>
    </row>
    <row r="52" spans="1:15" s="134" customFormat="1" ht="16.5" thickBot="1" x14ac:dyDescent="0.3">
      <c r="B52" s="282"/>
      <c r="C52" s="135"/>
      <c r="D52" s="127"/>
      <c r="E52" s="127"/>
      <c r="F52" s="127"/>
      <c r="G52" s="127"/>
      <c r="H52" s="127"/>
      <c r="I52" s="127"/>
      <c r="J52" s="127"/>
      <c r="K52" s="127"/>
      <c r="L52" s="127"/>
      <c r="M52" s="127"/>
      <c r="N52" s="127"/>
      <c r="O52" s="127"/>
    </row>
    <row r="53" spans="1:15" s="134" customFormat="1" ht="16.5" thickBot="1" x14ac:dyDescent="0.3">
      <c r="A53" s="134" t="s">
        <v>298</v>
      </c>
      <c r="B53" s="282" t="s">
        <v>74</v>
      </c>
      <c r="C53" s="135"/>
      <c r="D53" s="176">
        <v>0</v>
      </c>
      <c r="E53" s="174">
        <f>D58</f>
        <v>153.16470523598767</v>
      </c>
      <c r="F53" s="174">
        <f t="shared" ref="F53:O53" si="8">E58</f>
        <v>192.07674281809921</v>
      </c>
      <c r="G53" s="174">
        <f t="shared" si="8"/>
        <v>44.301866725818797</v>
      </c>
      <c r="H53" s="174">
        <f t="shared" si="8"/>
        <v>0</v>
      </c>
      <c r="I53" s="174">
        <f t="shared" si="8"/>
        <v>0</v>
      </c>
      <c r="J53" s="174">
        <f t="shared" si="8"/>
        <v>0</v>
      </c>
      <c r="K53" s="174">
        <f t="shared" si="8"/>
        <v>0</v>
      </c>
      <c r="L53" s="174">
        <f t="shared" si="8"/>
        <v>0</v>
      </c>
      <c r="M53" s="174">
        <f t="shared" si="8"/>
        <v>0</v>
      </c>
      <c r="N53" s="174">
        <f t="shared" si="8"/>
        <v>0</v>
      </c>
      <c r="O53" s="174">
        <f t="shared" si="8"/>
        <v>0</v>
      </c>
    </row>
    <row r="54" spans="1:15" s="134" customFormat="1" x14ac:dyDescent="0.25">
      <c r="A54" s="134" t="s">
        <v>78</v>
      </c>
      <c r="B54" s="282" t="s">
        <v>74</v>
      </c>
      <c r="C54" s="135"/>
      <c r="D54" s="174">
        <f>MAX(D50-D53,0)</f>
        <v>250</v>
      </c>
      <c r="E54" s="174">
        <f>MAX(E50-E53,0)</f>
        <v>96.835294764012332</v>
      </c>
      <c r="F54" s="174">
        <f t="shared" ref="F54:O54" si="9">MAX(F50-F53,0)</f>
        <v>57.923257181900794</v>
      </c>
      <c r="G54" s="174">
        <f t="shared" si="9"/>
        <v>0</v>
      </c>
      <c r="H54" s="174">
        <f t="shared" si="9"/>
        <v>0</v>
      </c>
      <c r="I54" s="174">
        <f t="shared" si="9"/>
        <v>0</v>
      </c>
      <c r="J54" s="174">
        <f t="shared" si="9"/>
        <v>0</v>
      </c>
      <c r="K54" s="174">
        <f t="shared" si="9"/>
        <v>0</v>
      </c>
      <c r="L54" s="174">
        <f t="shared" si="9"/>
        <v>0</v>
      </c>
      <c r="M54" s="174">
        <f t="shared" si="9"/>
        <v>0</v>
      </c>
      <c r="N54" s="174">
        <f t="shared" si="9"/>
        <v>0</v>
      </c>
      <c r="O54" s="174">
        <f t="shared" si="9"/>
        <v>0</v>
      </c>
    </row>
    <row r="55" spans="1:15" s="134" customFormat="1" x14ac:dyDescent="0.25">
      <c r="A55" s="134" t="s">
        <v>299</v>
      </c>
      <c r="B55" s="282" t="s">
        <v>74</v>
      </c>
      <c r="C55" s="135"/>
      <c r="D55" s="174">
        <f t="shared" ref="D55:O55" si="10">IF(D37&lt;0,-D37*D51,0)</f>
        <v>153.16470523598767</v>
      </c>
      <c r="E55" s="174">
        <f t="shared" si="10"/>
        <v>38.912037582111545</v>
      </c>
      <c r="F55" s="174">
        <f t="shared" si="10"/>
        <v>0</v>
      </c>
      <c r="G55" s="174">
        <f t="shared" si="10"/>
        <v>0</v>
      </c>
      <c r="H55" s="174">
        <f t="shared" si="10"/>
        <v>0</v>
      </c>
      <c r="I55" s="174">
        <f t="shared" si="10"/>
        <v>0</v>
      </c>
      <c r="J55" s="174">
        <f t="shared" si="10"/>
        <v>0</v>
      </c>
      <c r="K55" s="174">
        <f t="shared" si="10"/>
        <v>0</v>
      </c>
      <c r="L55" s="174">
        <f t="shared" si="10"/>
        <v>0</v>
      </c>
      <c r="M55" s="174">
        <f t="shared" si="10"/>
        <v>0</v>
      </c>
      <c r="N55" s="174">
        <f t="shared" si="10"/>
        <v>0</v>
      </c>
      <c r="O55" s="174">
        <f t="shared" si="10"/>
        <v>0</v>
      </c>
    </row>
    <row r="56" spans="1:15" s="332" customFormat="1" ht="23.25" x14ac:dyDescent="0.25">
      <c r="A56" s="335" t="s">
        <v>381</v>
      </c>
      <c r="B56" s="333" t="s">
        <v>74</v>
      </c>
      <c r="C56" s="133">
        <f t="shared" ref="C56:C57" si="11">SUM(D56:O56)</f>
        <v>192.07674281809921</v>
      </c>
      <c r="D56" s="330">
        <f t="shared" ref="D56:O56" si="12">IF(D46&lt;0,MIN(D54,D55),0)</f>
        <v>153.16470523598767</v>
      </c>
      <c r="E56" s="330">
        <f t="shared" si="12"/>
        <v>38.912037582111545</v>
      </c>
      <c r="F56" s="330">
        <f t="shared" si="12"/>
        <v>0</v>
      </c>
      <c r="G56" s="330">
        <f t="shared" si="12"/>
        <v>0</v>
      </c>
      <c r="H56" s="330">
        <f t="shared" si="12"/>
        <v>0</v>
      </c>
      <c r="I56" s="330">
        <f t="shared" si="12"/>
        <v>0</v>
      </c>
      <c r="J56" s="330">
        <f t="shared" si="12"/>
        <v>0</v>
      </c>
      <c r="K56" s="330">
        <f t="shared" si="12"/>
        <v>0</v>
      </c>
      <c r="L56" s="330">
        <f t="shared" si="12"/>
        <v>0</v>
      </c>
      <c r="M56" s="330">
        <f t="shared" si="12"/>
        <v>0</v>
      </c>
      <c r="N56" s="330">
        <f t="shared" si="12"/>
        <v>0</v>
      </c>
      <c r="O56" s="330">
        <f t="shared" si="12"/>
        <v>0</v>
      </c>
    </row>
    <row r="57" spans="1:15" s="434" customFormat="1" ht="23.25" x14ac:dyDescent="0.25">
      <c r="A57" s="335" t="s">
        <v>408</v>
      </c>
      <c r="B57" s="333" t="s">
        <v>74</v>
      </c>
      <c r="C57" s="133">
        <f t="shared" si="11"/>
        <v>-192.07674281809921</v>
      </c>
      <c r="D57" s="464">
        <f>-IF(D46&gt;0,MIN(D46,D53+D56),0)</f>
        <v>0</v>
      </c>
      <c r="E57" s="464">
        <f t="shared" ref="E57:O57" si="13">-IF(E46&gt;0,MIN(E46,E53+E56),0)</f>
        <v>0</v>
      </c>
      <c r="F57" s="464">
        <f t="shared" si="13"/>
        <v>-147.77487609228041</v>
      </c>
      <c r="G57" s="464">
        <f t="shared" si="13"/>
        <v>-44.301866725818797</v>
      </c>
      <c r="H57" s="464">
        <f t="shared" si="13"/>
        <v>0</v>
      </c>
      <c r="I57" s="464">
        <f t="shared" si="13"/>
        <v>0</v>
      </c>
      <c r="J57" s="464">
        <f t="shared" si="13"/>
        <v>0</v>
      </c>
      <c r="K57" s="464">
        <f t="shared" si="13"/>
        <v>0</v>
      </c>
      <c r="L57" s="464">
        <f t="shared" si="13"/>
        <v>0</v>
      </c>
      <c r="M57" s="464">
        <f t="shared" si="13"/>
        <v>0</v>
      </c>
      <c r="N57" s="464">
        <f t="shared" si="13"/>
        <v>0</v>
      </c>
      <c r="O57" s="464">
        <f t="shared" si="13"/>
        <v>0</v>
      </c>
    </row>
    <row r="58" spans="1:15" s="134" customFormat="1" x14ac:dyDescent="0.25">
      <c r="A58" s="134" t="s">
        <v>297</v>
      </c>
      <c r="B58" s="282" t="s">
        <v>74</v>
      </c>
      <c r="C58" s="135"/>
      <c r="D58" s="174">
        <f>D53+D56+D57</f>
        <v>153.16470523598767</v>
      </c>
      <c r="E58" s="174">
        <f t="shared" ref="E58:O58" si="14">E53+E56+E57</f>
        <v>192.07674281809921</v>
      </c>
      <c r="F58" s="174">
        <f t="shared" si="14"/>
        <v>44.301866725818797</v>
      </c>
      <c r="G58" s="174">
        <f t="shared" si="14"/>
        <v>0</v>
      </c>
      <c r="H58" s="174">
        <f t="shared" si="14"/>
        <v>0</v>
      </c>
      <c r="I58" s="174">
        <f t="shared" si="14"/>
        <v>0</v>
      </c>
      <c r="J58" s="174">
        <f t="shared" si="14"/>
        <v>0</v>
      </c>
      <c r="K58" s="174">
        <f t="shared" si="14"/>
        <v>0</v>
      </c>
      <c r="L58" s="174">
        <f t="shared" si="14"/>
        <v>0</v>
      </c>
      <c r="M58" s="174">
        <f t="shared" si="14"/>
        <v>0</v>
      </c>
      <c r="N58" s="174">
        <f t="shared" si="14"/>
        <v>0</v>
      </c>
      <c r="O58" s="174">
        <f t="shared" si="14"/>
        <v>0</v>
      </c>
    </row>
    <row r="59" spans="1:15" s="134" customFormat="1" x14ac:dyDescent="0.25">
      <c r="B59" s="282"/>
      <c r="C59" s="135"/>
      <c r="D59" s="127"/>
      <c r="E59" s="127"/>
      <c r="F59" s="127"/>
      <c r="G59" s="127"/>
      <c r="H59" s="127"/>
      <c r="I59" s="127"/>
      <c r="J59" s="127"/>
      <c r="K59" s="127"/>
      <c r="L59" s="127"/>
      <c r="M59" s="127"/>
      <c r="N59" s="127"/>
      <c r="O59" s="127"/>
    </row>
    <row r="60" spans="1:15" s="134" customFormat="1" ht="21" x14ac:dyDescent="0.35">
      <c r="A60" s="136" t="s">
        <v>80</v>
      </c>
      <c r="B60" s="282"/>
      <c r="C60" s="135"/>
      <c r="D60" s="127"/>
      <c r="E60" s="127"/>
      <c r="F60" s="127"/>
      <c r="G60" s="127"/>
      <c r="H60" s="127"/>
      <c r="I60" s="127"/>
      <c r="J60" s="127"/>
      <c r="K60" s="127"/>
      <c r="L60" s="127"/>
      <c r="M60" s="127"/>
      <c r="N60" s="127"/>
      <c r="O60" s="127"/>
    </row>
    <row r="61" spans="1:15" s="134" customFormat="1" ht="18.75" x14ac:dyDescent="0.3">
      <c r="A61" s="336" t="s">
        <v>382</v>
      </c>
      <c r="B61" s="282"/>
      <c r="C61" s="135"/>
      <c r="D61" s="127"/>
      <c r="E61" s="127"/>
      <c r="F61" s="127"/>
      <c r="G61" s="127"/>
      <c r="H61" s="127"/>
      <c r="I61" s="127"/>
      <c r="J61" s="127"/>
      <c r="K61" s="127"/>
      <c r="L61" s="127"/>
      <c r="M61" s="127"/>
      <c r="N61" s="127"/>
      <c r="O61" s="127"/>
    </row>
    <row r="62" spans="1:15" s="134" customFormat="1" x14ac:dyDescent="0.25">
      <c r="A62" s="148" t="s">
        <v>383</v>
      </c>
      <c r="B62" s="282"/>
      <c r="C62" s="135"/>
      <c r="D62" s="127"/>
      <c r="E62" s="127"/>
      <c r="F62" s="127"/>
      <c r="G62" s="127"/>
      <c r="H62" s="127"/>
      <c r="I62" s="127"/>
      <c r="J62" s="127"/>
      <c r="K62" s="127"/>
      <c r="L62" s="127"/>
      <c r="M62" s="127"/>
      <c r="N62" s="127"/>
      <c r="O62" s="127"/>
    </row>
    <row r="63" spans="1:15" s="129" customFormat="1" x14ac:dyDescent="0.25">
      <c r="A63" s="126" t="s">
        <v>75</v>
      </c>
      <c r="B63" s="277" t="s">
        <v>74</v>
      </c>
      <c r="C63" s="127"/>
      <c r="D63" s="128">
        <v>0.08</v>
      </c>
      <c r="E63" s="128">
        <f>D63</f>
        <v>0.08</v>
      </c>
      <c r="F63" s="128">
        <f t="shared" ref="F63" si="15">E63</f>
        <v>0.08</v>
      </c>
      <c r="G63" s="128">
        <f t="shared" ref="G63" si="16">F63</f>
        <v>0.08</v>
      </c>
      <c r="H63" s="128">
        <f t="shared" ref="H63" si="17">G63</f>
        <v>0.08</v>
      </c>
      <c r="I63" s="128">
        <f t="shared" ref="I63" si="18">H63</f>
        <v>0.08</v>
      </c>
      <c r="J63" s="128">
        <f t="shared" ref="J63" si="19">I63</f>
        <v>0.08</v>
      </c>
      <c r="K63" s="128">
        <f t="shared" ref="K63" si="20">J63</f>
        <v>0.08</v>
      </c>
      <c r="L63" s="128">
        <f t="shared" ref="L63" si="21">K63</f>
        <v>0.08</v>
      </c>
      <c r="M63" s="128">
        <f t="shared" ref="M63" si="22">L63</f>
        <v>0.08</v>
      </c>
      <c r="N63" s="128">
        <f t="shared" ref="N63" si="23">M63</f>
        <v>0.08</v>
      </c>
      <c r="O63" s="128">
        <f t="shared" ref="O63" si="24">N63</f>
        <v>0.08</v>
      </c>
    </row>
    <row r="64" spans="1:15" s="332" customFormat="1" ht="23.25" x14ac:dyDescent="0.25">
      <c r="A64" s="335" t="s">
        <v>76</v>
      </c>
      <c r="B64" s="333" t="s">
        <v>74</v>
      </c>
      <c r="C64" s="133">
        <f>SUM(D64:O64)</f>
        <v>46.745197773588679</v>
      </c>
      <c r="D64" s="334">
        <f>(D53+D58/2)*D63</f>
        <v>6.1265882094395065</v>
      </c>
      <c r="E64" s="334">
        <f t="shared" ref="E64:O64" si="25">(E53+E58/2)*E63</f>
        <v>19.936246131602982</v>
      </c>
      <c r="F64" s="334">
        <f t="shared" si="25"/>
        <v>17.138214094480688</v>
      </c>
      <c r="G64" s="334">
        <f t="shared" si="25"/>
        <v>3.544149338065504</v>
      </c>
      <c r="H64" s="334">
        <f t="shared" si="25"/>
        <v>0</v>
      </c>
      <c r="I64" s="334">
        <f t="shared" si="25"/>
        <v>0</v>
      </c>
      <c r="J64" s="334">
        <f t="shared" si="25"/>
        <v>0</v>
      </c>
      <c r="K64" s="334">
        <f t="shared" si="25"/>
        <v>0</v>
      </c>
      <c r="L64" s="334">
        <f t="shared" si="25"/>
        <v>0</v>
      </c>
      <c r="M64" s="334">
        <f t="shared" si="25"/>
        <v>0</v>
      </c>
      <c r="N64" s="334">
        <f t="shared" si="25"/>
        <v>0</v>
      </c>
      <c r="O64" s="334">
        <f t="shared" si="25"/>
        <v>0</v>
      </c>
    </row>
    <row r="65" spans="1:15" s="134" customFormat="1" x14ac:dyDescent="0.25">
      <c r="B65" s="282"/>
      <c r="C65" s="135"/>
      <c r="D65" s="127"/>
      <c r="E65" s="127"/>
      <c r="F65" s="127"/>
      <c r="G65" s="127"/>
      <c r="H65" s="127"/>
      <c r="I65" s="127"/>
      <c r="J65" s="127"/>
      <c r="K65" s="127"/>
      <c r="L65" s="127"/>
      <c r="M65" s="127"/>
      <c r="N65" s="127"/>
      <c r="O65" s="127"/>
    </row>
    <row r="66" spans="1:15" s="134" customFormat="1" ht="23.25" x14ac:dyDescent="0.35">
      <c r="A66" s="152" t="s">
        <v>81</v>
      </c>
      <c r="B66" s="282"/>
      <c r="C66" s="135"/>
      <c r="D66" s="127"/>
      <c r="E66" s="127"/>
      <c r="F66" s="127"/>
      <c r="G66" s="127"/>
      <c r="H66" s="127"/>
      <c r="I66" s="127"/>
      <c r="J66" s="127"/>
      <c r="K66" s="127"/>
      <c r="L66" s="127"/>
      <c r="M66" s="127"/>
      <c r="N66" s="127"/>
      <c r="O66" s="127"/>
    </row>
    <row r="67" spans="1:15" s="134" customFormat="1" ht="16.5" thickBot="1" x14ac:dyDescent="0.3">
      <c r="A67" s="148" t="s">
        <v>268</v>
      </c>
      <c r="B67" s="282"/>
      <c r="C67" s="135"/>
      <c r="D67" s="127"/>
      <c r="E67" s="127"/>
      <c r="F67" s="127"/>
      <c r="G67" s="127"/>
      <c r="H67" s="127"/>
      <c r="I67" s="127"/>
      <c r="J67" s="127"/>
      <c r="K67" s="127"/>
      <c r="L67" s="127"/>
      <c r="M67" s="127"/>
      <c r="N67" s="127"/>
      <c r="O67" s="127"/>
    </row>
    <row r="68" spans="1:15" s="173" customFormat="1" ht="16.5" thickBot="1" x14ac:dyDescent="0.3">
      <c r="A68" s="173" t="s">
        <v>77</v>
      </c>
      <c r="B68" s="283" t="s">
        <v>74</v>
      </c>
      <c r="C68" s="175"/>
      <c r="D68" s="176">
        <v>0</v>
      </c>
      <c r="E68" s="174">
        <f>D74</f>
        <v>159.29129344542716</v>
      </c>
      <c r="F68" s="174">
        <f t="shared" ref="F68:O68" si="26">E74</f>
        <v>218.13957715914168</v>
      </c>
      <c r="G68" s="174">
        <f t="shared" si="26"/>
        <v>218.13957715914168</v>
      </c>
      <c r="H68" s="174">
        <f t="shared" si="26"/>
        <v>218.13957715914168</v>
      </c>
      <c r="I68" s="174">
        <f t="shared" si="26"/>
        <v>218.13957715914168</v>
      </c>
      <c r="J68" s="174">
        <f t="shared" si="26"/>
        <v>218.13957715914168</v>
      </c>
      <c r="K68" s="174">
        <f t="shared" si="26"/>
        <v>218.13957715914168</v>
      </c>
      <c r="L68" s="174">
        <f t="shared" si="26"/>
        <v>218.13957715914168</v>
      </c>
      <c r="M68" s="174">
        <f t="shared" si="26"/>
        <v>218.13957715914168</v>
      </c>
      <c r="N68" s="174">
        <f t="shared" si="26"/>
        <v>218.13957715914168</v>
      </c>
      <c r="O68" s="174">
        <f t="shared" si="26"/>
        <v>218.13957715914168</v>
      </c>
    </row>
    <row r="69" spans="1:15" s="173" customFormat="1" x14ac:dyDescent="0.25">
      <c r="A69" s="177" t="str">
        <f>A37</f>
        <v>Net Cash Flow before project funding - Nominal</v>
      </c>
      <c r="B69" s="284" t="str">
        <f>B37</f>
        <v>US$ 000  Nominal</v>
      </c>
      <c r="C69" s="175">
        <f t="shared" ref="C69" si="27">SUM(D69:O69)</f>
        <v>3846.7272522061339</v>
      </c>
      <c r="D69" s="178">
        <f t="shared" ref="D69:O69" si="28">D37</f>
        <v>-306.32941047197534</v>
      </c>
      <c r="E69" s="178">
        <f t="shared" si="28"/>
        <v>-77.824075164223089</v>
      </c>
      <c r="F69" s="178">
        <f t="shared" si="28"/>
        <v>47.774876092280401</v>
      </c>
      <c r="G69" s="178">
        <f t="shared" si="28"/>
        <v>220.24021061560725</v>
      </c>
      <c r="H69" s="178">
        <f t="shared" si="28"/>
        <v>340.93195715699488</v>
      </c>
      <c r="I69" s="178">
        <f t="shared" si="28"/>
        <v>508.02675316624055</v>
      </c>
      <c r="J69" s="178">
        <f t="shared" si="28"/>
        <v>621.51013645756541</v>
      </c>
      <c r="K69" s="178">
        <f t="shared" si="28"/>
        <v>653.73527847972275</v>
      </c>
      <c r="L69" s="178">
        <f t="shared" si="28"/>
        <v>667.94521843151495</v>
      </c>
      <c r="M69" s="178">
        <f t="shared" si="28"/>
        <v>1061.8918794362685</v>
      </c>
      <c r="N69" s="178">
        <f t="shared" si="28"/>
        <v>108.82442800613779</v>
      </c>
      <c r="O69" s="178">
        <f t="shared" si="28"/>
        <v>0</v>
      </c>
    </row>
    <row r="70" spans="1:15" s="173" customFormat="1" x14ac:dyDescent="0.25">
      <c r="A70" s="177" t="str">
        <f>A64</f>
        <v xml:space="preserve">Interest - paid </v>
      </c>
      <c r="B70" s="284" t="str">
        <f>B64</f>
        <v>US$ 000 Nominal</v>
      </c>
      <c r="C70" s="175">
        <f t="shared" ref="C70:C73" si="29">SUM(D70:O70)</f>
        <v>-46.745197773588679</v>
      </c>
      <c r="D70" s="178">
        <f>-D64</f>
        <v>-6.1265882094395065</v>
      </c>
      <c r="E70" s="178">
        <f t="shared" ref="E70:O70" si="30">-E64</f>
        <v>-19.936246131602982</v>
      </c>
      <c r="F70" s="178">
        <f t="shared" si="30"/>
        <v>-17.138214094480688</v>
      </c>
      <c r="G70" s="178">
        <f t="shared" si="30"/>
        <v>-3.544149338065504</v>
      </c>
      <c r="H70" s="178">
        <f t="shared" si="30"/>
        <v>0</v>
      </c>
      <c r="I70" s="178">
        <f t="shared" si="30"/>
        <v>0</v>
      </c>
      <c r="J70" s="178">
        <f t="shared" si="30"/>
        <v>0</v>
      </c>
      <c r="K70" s="178">
        <f t="shared" si="30"/>
        <v>0</v>
      </c>
      <c r="L70" s="178">
        <f t="shared" si="30"/>
        <v>0</v>
      </c>
      <c r="M70" s="178">
        <f t="shared" si="30"/>
        <v>0</v>
      </c>
      <c r="N70" s="178">
        <f t="shared" si="30"/>
        <v>0</v>
      </c>
      <c r="O70" s="178">
        <f t="shared" si="30"/>
        <v>0</v>
      </c>
    </row>
    <row r="71" spans="1:15" s="173" customFormat="1" x14ac:dyDescent="0.25">
      <c r="A71" s="177" t="str">
        <f>A45</f>
        <v>4 a. Donations</v>
      </c>
      <c r="B71" s="284" t="str">
        <f>B45</f>
        <v>US$ 000 Nominal</v>
      </c>
      <c r="C71" s="175">
        <f t="shared" ref="C71" si="31">SUM(D71:O71)</f>
        <v>100</v>
      </c>
      <c r="D71" s="178">
        <f t="shared" ref="D71:O71" si="32">D45</f>
        <v>0</v>
      </c>
      <c r="E71" s="178">
        <f t="shared" si="32"/>
        <v>0</v>
      </c>
      <c r="F71" s="178">
        <f t="shared" si="32"/>
        <v>100</v>
      </c>
      <c r="G71" s="178">
        <f t="shared" si="32"/>
        <v>0</v>
      </c>
      <c r="H71" s="178">
        <f t="shared" si="32"/>
        <v>0</v>
      </c>
      <c r="I71" s="178">
        <f t="shared" si="32"/>
        <v>0</v>
      </c>
      <c r="J71" s="178">
        <f t="shared" si="32"/>
        <v>0</v>
      </c>
      <c r="K71" s="178">
        <f t="shared" si="32"/>
        <v>0</v>
      </c>
      <c r="L71" s="178">
        <f t="shared" si="32"/>
        <v>0</v>
      </c>
      <c r="M71" s="178">
        <f t="shared" si="32"/>
        <v>0</v>
      </c>
      <c r="N71" s="178">
        <f t="shared" si="32"/>
        <v>0</v>
      </c>
      <c r="O71" s="178">
        <f t="shared" si="32"/>
        <v>0</v>
      </c>
    </row>
    <row r="72" spans="1:15" s="173" customFormat="1" x14ac:dyDescent="0.25">
      <c r="A72" s="177" t="str">
        <f>A56</f>
        <v>loan - drawdowns</v>
      </c>
      <c r="B72" s="284" t="str">
        <f>B56</f>
        <v>US$ 000 Nominal</v>
      </c>
      <c r="C72" s="175">
        <f t="shared" si="29"/>
        <v>192.07674281809921</v>
      </c>
      <c r="D72" s="178">
        <f t="shared" ref="D72:O72" si="33">D56</f>
        <v>153.16470523598767</v>
      </c>
      <c r="E72" s="178">
        <f t="shared" si="33"/>
        <v>38.912037582111545</v>
      </c>
      <c r="F72" s="178">
        <f t="shared" si="33"/>
        <v>0</v>
      </c>
      <c r="G72" s="178">
        <f t="shared" si="33"/>
        <v>0</v>
      </c>
      <c r="H72" s="178">
        <f t="shared" si="33"/>
        <v>0</v>
      </c>
      <c r="I72" s="178">
        <f t="shared" si="33"/>
        <v>0</v>
      </c>
      <c r="J72" s="178">
        <f t="shared" si="33"/>
        <v>0</v>
      </c>
      <c r="K72" s="178">
        <f t="shared" si="33"/>
        <v>0</v>
      </c>
      <c r="L72" s="178">
        <f t="shared" si="33"/>
        <v>0</v>
      </c>
      <c r="M72" s="178">
        <f t="shared" si="33"/>
        <v>0</v>
      </c>
      <c r="N72" s="178">
        <f t="shared" si="33"/>
        <v>0</v>
      </c>
      <c r="O72" s="178">
        <f t="shared" si="33"/>
        <v>0</v>
      </c>
    </row>
    <row r="73" spans="1:15" s="332" customFormat="1" ht="23.25" x14ac:dyDescent="0.25">
      <c r="A73" s="335" t="s">
        <v>90</v>
      </c>
      <c r="B73" s="333" t="s">
        <v>74</v>
      </c>
      <c r="C73" s="133">
        <f t="shared" si="29"/>
        <v>218.13957715914168</v>
      </c>
      <c r="D73" s="334">
        <f t="shared" ref="D73:O73" si="34">IF(SUM(D69:D72)&lt;0,-SUM(D69:D72),0)</f>
        <v>159.29129344542716</v>
      </c>
      <c r="E73" s="334">
        <f t="shared" si="34"/>
        <v>58.84828371371453</v>
      </c>
      <c r="F73" s="334">
        <f t="shared" si="34"/>
        <v>0</v>
      </c>
      <c r="G73" s="334">
        <f t="shared" si="34"/>
        <v>0</v>
      </c>
      <c r="H73" s="334">
        <f t="shared" si="34"/>
        <v>0</v>
      </c>
      <c r="I73" s="334">
        <f t="shared" si="34"/>
        <v>0</v>
      </c>
      <c r="J73" s="334">
        <f t="shared" si="34"/>
        <v>0</v>
      </c>
      <c r="K73" s="334">
        <f t="shared" si="34"/>
        <v>0</v>
      </c>
      <c r="L73" s="334">
        <f t="shared" si="34"/>
        <v>0</v>
      </c>
      <c r="M73" s="334">
        <f t="shared" si="34"/>
        <v>0</v>
      </c>
      <c r="N73" s="334">
        <f t="shared" si="34"/>
        <v>0</v>
      </c>
      <c r="O73" s="334">
        <f t="shared" si="34"/>
        <v>0</v>
      </c>
    </row>
    <row r="74" spans="1:15" s="173" customFormat="1" x14ac:dyDescent="0.25">
      <c r="A74" s="173" t="s">
        <v>79</v>
      </c>
      <c r="B74" s="283" t="s">
        <v>74</v>
      </c>
      <c r="C74" s="175"/>
      <c r="D74" s="174">
        <f t="shared" ref="D74:O74" si="35">D68+D73</f>
        <v>159.29129344542716</v>
      </c>
      <c r="E74" s="174">
        <f t="shared" si="35"/>
        <v>218.13957715914168</v>
      </c>
      <c r="F74" s="174">
        <f t="shared" si="35"/>
        <v>218.13957715914168</v>
      </c>
      <c r="G74" s="174">
        <f t="shared" si="35"/>
        <v>218.13957715914168</v>
      </c>
      <c r="H74" s="174">
        <f t="shared" si="35"/>
        <v>218.13957715914168</v>
      </c>
      <c r="I74" s="174">
        <f t="shared" si="35"/>
        <v>218.13957715914168</v>
      </c>
      <c r="J74" s="174">
        <f t="shared" si="35"/>
        <v>218.13957715914168</v>
      </c>
      <c r="K74" s="174">
        <f t="shared" si="35"/>
        <v>218.13957715914168</v>
      </c>
      <c r="L74" s="174">
        <f t="shared" si="35"/>
        <v>218.13957715914168</v>
      </c>
      <c r="M74" s="174">
        <f t="shared" si="35"/>
        <v>218.13957715914168</v>
      </c>
      <c r="N74" s="174">
        <f t="shared" si="35"/>
        <v>218.13957715914168</v>
      </c>
      <c r="O74" s="174">
        <f t="shared" si="35"/>
        <v>218.13957715914168</v>
      </c>
    </row>
    <row r="75" spans="1:15" s="134" customFormat="1" ht="74.45" customHeight="1" x14ac:dyDescent="0.25">
      <c r="B75" s="282"/>
      <c r="C75" s="135"/>
      <c r="D75" s="127"/>
      <c r="E75" s="127"/>
      <c r="F75" s="127"/>
      <c r="G75" s="127"/>
      <c r="H75" s="127"/>
      <c r="I75" s="127"/>
      <c r="J75" s="127"/>
      <c r="K75" s="127"/>
      <c r="L75" s="127"/>
      <c r="M75" s="127"/>
      <c r="N75" s="127"/>
      <c r="O75" s="127"/>
    </row>
    <row r="76" spans="1:15" s="296" customFormat="1" ht="61.35" customHeight="1" x14ac:dyDescent="0.25">
      <c r="A76" s="293" t="s">
        <v>272</v>
      </c>
      <c r="B76" s="189"/>
      <c r="C76" s="294"/>
      <c r="D76" s="295"/>
      <c r="E76" s="295"/>
      <c r="F76" s="295"/>
      <c r="G76" s="295"/>
      <c r="H76" s="295"/>
      <c r="I76" s="295"/>
      <c r="J76" s="295"/>
      <c r="K76" s="295"/>
      <c r="L76" s="295"/>
      <c r="M76" s="295"/>
      <c r="N76" s="295"/>
      <c r="O76" s="295"/>
    </row>
    <row r="77" spans="1:15" s="46" customFormat="1" ht="43.7" customHeight="1" x14ac:dyDescent="0.25">
      <c r="A77" s="125" t="s">
        <v>281</v>
      </c>
      <c r="B77" s="29"/>
      <c r="C77" s="62"/>
      <c r="D77" s="62"/>
      <c r="E77" s="62"/>
      <c r="F77" s="62"/>
      <c r="G77" s="62"/>
      <c r="H77" s="62"/>
      <c r="I77" s="62"/>
      <c r="J77" s="62"/>
      <c r="K77" s="62"/>
      <c r="L77" s="62"/>
      <c r="M77" s="62"/>
      <c r="N77" s="62"/>
      <c r="O77" s="88"/>
    </row>
    <row r="78" spans="1:15" ht="18.75" x14ac:dyDescent="0.3">
      <c r="A78" s="336" t="s">
        <v>384</v>
      </c>
    </row>
    <row r="79" spans="1:15" ht="18.75" x14ac:dyDescent="0.3">
      <c r="A79" s="336" t="s">
        <v>385</v>
      </c>
    </row>
    <row r="80" spans="1:15" x14ac:dyDescent="0.25">
      <c r="A80" s="271" t="str">
        <f>Taxes!A69</f>
        <v>Assessable income</v>
      </c>
      <c r="B80" s="276" t="str">
        <f>Taxes!B69</f>
        <v>US$ 000  Real</v>
      </c>
      <c r="C80" s="270">
        <f>Taxes!C69</f>
        <v>4621.730414596992</v>
      </c>
      <c r="D80" s="272">
        <f>Taxes!D69</f>
        <v>74.224592777085945</v>
      </c>
      <c r="E80" s="272">
        <f>Taxes!E69</f>
        <v>126.7252673308426</v>
      </c>
      <c r="F80" s="272">
        <f>Taxes!F69</f>
        <v>134.38440903594505</v>
      </c>
      <c r="G80" s="272">
        <f>Taxes!G69</f>
        <v>230.6666147887363</v>
      </c>
      <c r="H80" s="272">
        <f>Taxes!H69</f>
        <v>418.8973747457967</v>
      </c>
      <c r="I80" s="272">
        <f>Taxes!I69</f>
        <v>619.37164701935899</v>
      </c>
      <c r="J80" s="272">
        <f>Taxes!J69</f>
        <v>731.97611723485079</v>
      </c>
      <c r="K80" s="272">
        <f>Taxes!K69</f>
        <v>752.44916993849802</v>
      </c>
      <c r="L80" s="272">
        <f>Taxes!L69</f>
        <v>757.76806158600084</v>
      </c>
      <c r="M80" s="272">
        <f>Taxes!M69</f>
        <v>775.26716013987652</v>
      </c>
      <c r="N80" s="272">
        <f>Taxes!N69</f>
        <v>0</v>
      </c>
      <c r="O80" s="272">
        <f>Taxes!O69</f>
        <v>0</v>
      </c>
    </row>
    <row r="81" spans="1:15" s="129" customFormat="1" x14ac:dyDescent="0.25">
      <c r="A81" s="143" t="str">
        <f>A$36</f>
        <v>Inflator - US$</v>
      </c>
      <c r="B81" s="285"/>
      <c r="C81" s="135"/>
      <c r="D81" s="144">
        <f t="shared" ref="D81:O81" si="36">D$36</f>
        <v>1.0099504938362078</v>
      </c>
      <c r="E81" s="144">
        <f t="shared" si="36"/>
        <v>1.030149503712932</v>
      </c>
      <c r="F81" s="144">
        <f t="shared" si="36"/>
        <v>1.0507524937871906</v>
      </c>
      <c r="G81" s="144">
        <f t="shared" si="36"/>
        <v>1.0717675436629344</v>
      </c>
      <c r="H81" s="144">
        <f t="shared" si="36"/>
        <v>1.0932028945361931</v>
      </c>
      <c r="I81" s="144">
        <f t="shared" si="36"/>
        <v>1.115066952426917</v>
      </c>
      <c r="J81" s="144">
        <f t="shared" si="36"/>
        <v>1.1373682914754553</v>
      </c>
      <c r="K81" s="144">
        <f t="shared" si="36"/>
        <v>1.1601156573049645</v>
      </c>
      <c r="L81" s="144">
        <f t="shared" si="36"/>
        <v>1.1833179704510637</v>
      </c>
      <c r="M81" s="144">
        <f t="shared" si="36"/>
        <v>1.2069843298600851</v>
      </c>
      <c r="N81" s="144">
        <f t="shared" si="36"/>
        <v>1.2311240164572868</v>
      </c>
      <c r="O81" s="144">
        <f t="shared" si="36"/>
        <v>1.2557464967864325</v>
      </c>
    </row>
    <row r="82" spans="1:15" s="173" customFormat="1" x14ac:dyDescent="0.25">
      <c r="A82" s="177" t="s">
        <v>83</v>
      </c>
      <c r="B82" s="284" t="s">
        <v>74</v>
      </c>
      <c r="C82" s="175">
        <f t="shared" ref="C82" si="37">SUM(D82:O82)</f>
        <v>5280.3859245683634</v>
      </c>
      <c r="D82" s="181">
        <f>D80*D81</f>
        <v>74.963164130009375</v>
      </c>
      <c r="E82" s="181">
        <f t="shared" ref="E82:O82" si="38">E80*E81</f>
        <v>130.54597124875613</v>
      </c>
      <c r="F82" s="181">
        <f t="shared" si="38"/>
        <v>141.20475292063713</v>
      </c>
      <c r="G82" s="181">
        <f t="shared" si="38"/>
        <v>247.2209911371682</v>
      </c>
      <c r="H82" s="181">
        <f t="shared" si="38"/>
        <v>457.93982258571737</v>
      </c>
      <c r="I82" s="181">
        <f t="shared" si="38"/>
        <v>690.6408548615168</v>
      </c>
      <c r="J82" s="181">
        <f t="shared" si="38"/>
        <v>832.52642586023978</v>
      </c>
      <c r="K82" s="181">
        <f t="shared" si="38"/>
        <v>872.92806337177558</v>
      </c>
      <c r="L82" s="181">
        <f t="shared" si="38"/>
        <v>896.68056470858312</v>
      </c>
      <c r="M82" s="181">
        <f t="shared" si="38"/>
        <v>935.73531374396009</v>
      </c>
      <c r="N82" s="181">
        <f t="shared" si="38"/>
        <v>0</v>
      </c>
      <c r="O82" s="181">
        <f t="shared" si="38"/>
        <v>0</v>
      </c>
    </row>
    <row r="83" spans="1:15" s="173" customFormat="1" x14ac:dyDescent="0.25">
      <c r="A83" s="177" t="s">
        <v>84</v>
      </c>
      <c r="B83" s="284"/>
      <c r="C83" s="175"/>
      <c r="D83" s="177"/>
      <c r="E83" s="177"/>
      <c r="F83" s="177"/>
      <c r="G83" s="177"/>
      <c r="H83" s="177"/>
      <c r="I83" s="177"/>
      <c r="J83" s="177"/>
      <c r="K83" s="177"/>
      <c r="L83" s="177"/>
      <c r="M83" s="177"/>
      <c r="N83" s="177"/>
      <c r="O83" s="177"/>
    </row>
    <row r="84" spans="1:15" s="173" customFormat="1" x14ac:dyDescent="0.25">
      <c r="A84" s="177" t="str">
        <f>A64</f>
        <v xml:space="preserve">Interest - paid </v>
      </c>
      <c r="B84" s="284" t="str">
        <f>B64</f>
        <v>US$ 000 Nominal</v>
      </c>
      <c r="C84" s="175">
        <f t="shared" ref="C84" si="39">SUM(D84:O84)</f>
        <v>46.745197773588679</v>
      </c>
      <c r="D84" s="178">
        <f t="shared" ref="D84:O84" si="40">D64</f>
        <v>6.1265882094395065</v>
      </c>
      <c r="E84" s="178">
        <f t="shared" si="40"/>
        <v>19.936246131602982</v>
      </c>
      <c r="F84" s="178">
        <f t="shared" si="40"/>
        <v>17.138214094480688</v>
      </c>
      <c r="G84" s="178">
        <f t="shared" si="40"/>
        <v>3.544149338065504</v>
      </c>
      <c r="H84" s="178">
        <f t="shared" si="40"/>
        <v>0</v>
      </c>
      <c r="I84" s="178">
        <f t="shared" si="40"/>
        <v>0</v>
      </c>
      <c r="J84" s="178">
        <f t="shared" si="40"/>
        <v>0</v>
      </c>
      <c r="K84" s="178">
        <f t="shared" si="40"/>
        <v>0</v>
      </c>
      <c r="L84" s="178">
        <f t="shared" si="40"/>
        <v>0</v>
      </c>
      <c r="M84" s="178">
        <f t="shared" si="40"/>
        <v>0</v>
      </c>
      <c r="N84" s="178">
        <f t="shared" si="40"/>
        <v>0</v>
      </c>
      <c r="O84" s="178">
        <f t="shared" si="40"/>
        <v>0</v>
      </c>
    </row>
    <row r="85" spans="1:15" s="173" customFormat="1" x14ac:dyDescent="0.25">
      <c r="A85" s="177" t="s">
        <v>85</v>
      </c>
      <c r="B85" s="284" t="s">
        <v>74</v>
      </c>
      <c r="C85" s="175">
        <f t="shared" ref="C85" si="41">SUM(D85:O85)</f>
        <v>5233.6407267947752</v>
      </c>
      <c r="D85" s="181">
        <f>D82-D84</f>
        <v>68.836575920569871</v>
      </c>
      <c r="E85" s="181">
        <f t="shared" ref="E85:O85" si="42">E82-E84</f>
        <v>110.60972511715315</v>
      </c>
      <c r="F85" s="181">
        <f t="shared" si="42"/>
        <v>124.06653882615645</v>
      </c>
      <c r="G85" s="181">
        <f t="shared" si="42"/>
        <v>243.6768417991027</v>
      </c>
      <c r="H85" s="181">
        <f t="shared" si="42"/>
        <v>457.93982258571737</v>
      </c>
      <c r="I85" s="181">
        <f t="shared" si="42"/>
        <v>690.6408548615168</v>
      </c>
      <c r="J85" s="181">
        <f t="shared" si="42"/>
        <v>832.52642586023978</v>
      </c>
      <c r="K85" s="181">
        <f t="shared" si="42"/>
        <v>872.92806337177558</v>
      </c>
      <c r="L85" s="181">
        <f t="shared" si="42"/>
        <v>896.68056470858312</v>
      </c>
      <c r="M85" s="181">
        <f t="shared" si="42"/>
        <v>935.73531374396009</v>
      </c>
      <c r="N85" s="181">
        <f t="shared" si="42"/>
        <v>0</v>
      </c>
      <c r="O85" s="181">
        <f t="shared" si="42"/>
        <v>0</v>
      </c>
    </row>
    <row r="86" spans="1:15" s="170" customFormat="1" ht="16.5" thickBot="1" x14ac:dyDescent="0.3">
      <c r="A86" s="182"/>
      <c r="B86" s="286"/>
      <c r="C86" s="183"/>
      <c r="D86" s="172"/>
      <c r="E86" s="172"/>
      <c r="F86" s="172"/>
      <c r="G86" s="172"/>
      <c r="H86" s="172"/>
      <c r="I86" s="172"/>
      <c r="J86" s="172"/>
      <c r="K86" s="172"/>
      <c r="L86" s="172"/>
      <c r="M86" s="172"/>
      <c r="N86" s="172"/>
      <c r="O86" s="172"/>
    </row>
    <row r="87" spans="1:15" s="173" customFormat="1" ht="16.5" thickBot="1" x14ac:dyDescent="0.3">
      <c r="A87" s="177" t="s">
        <v>364</v>
      </c>
      <c r="B87" s="284" t="s">
        <v>74</v>
      </c>
      <c r="C87" s="175"/>
      <c r="D87" s="184">
        <v>0</v>
      </c>
      <c r="E87" s="185">
        <f>D90</f>
        <v>0</v>
      </c>
      <c r="F87" s="185">
        <f t="shared" ref="F87:O87" si="43">E90</f>
        <v>0</v>
      </c>
      <c r="G87" s="185">
        <f t="shared" si="43"/>
        <v>0</v>
      </c>
      <c r="H87" s="185">
        <f t="shared" si="43"/>
        <v>0</v>
      </c>
      <c r="I87" s="185">
        <f t="shared" si="43"/>
        <v>0</v>
      </c>
      <c r="J87" s="185">
        <f t="shared" si="43"/>
        <v>0</v>
      </c>
      <c r="K87" s="185">
        <f t="shared" si="43"/>
        <v>0</v>
      </c>
      <c r="L87" s="185">
        <f t="shared" si="43"/>
        <v>0</v>
      </c>
      <c r="M87" s="185">
        <f t="shared" si="43"/>
        <v>0</v>
      </c>
      <c r="N87" s="185">
        <f t="shared" si="43"/>
        <v>0</v>
      </c>
      <c r="O87" s="185">
        <f t="shared" si="43"/>
        <v>0</v>
      </c>
    </row>
    <row r="88" spans="1:15" s="173" customFormat="1" x14ac:dyDescent="0.25">
      <c r="A88" s="177" t="s">
        <v>36</v>
      </c>
      <c r="B88" s="284" t="str">
        <f>B68</f>
        <v>US$ 000 Nominal</v>
      </c>
      <c r="C88" s="175"/>
      <c r="D88" s="185">
        <f>D87+D85</f>
        <v>68.836575920569871</v>
      </c>
      <c r="E88" s="185">
        <f t="shared" ref="E88:O88" si="44">E87+E85</f>
        <v>110.60972511715315</v>
      </c>
      <c r="F88" s="185">
        <f t="shared" si="44"/>
        <v>124.06653882615645</v>
      </c>
      <c r="G88" s="185">
        <f t="shared" si="44"/>
        <v>243.6768417991027</v>
      </c>
      <c r="H88" s="185">
        <f t="shared" si="44"/>
        <v>457.93982258571737</v>
      </c>
      <c r="I88" s="185">
        <f t="shared" si="44"/>
        <v>690.6408548615168</v>
      </c>
      <c r="J88" s="185">
        <f t="shared" si="44"/>
        <v>832.52642586023978</v>
      </c>
      <c r="K88" s="185">
        <f t="shared" si="44"/>
        <v>872.92806337177558</v>
      </c>
      <c r="L88" s="185">
        <f t="shared" si="44"/>
        <v>896.68056470858312</v>
      </c>
      <c r="M88" s="185">
        <f t="shared" si="44"/>
        <v>935.73531374396009</v>
      </c>
      <c r="N88" s="185">
        <f t="shared" si="44"/>
        <v>0</v>
      </c>
      <c r="O88" s="185">
        <f t="shared" si="44"/>
        <v>0</v>
      </c>
    </row>
    <row r="89" spans="1:15" s="180" customFormat="1" x14ac:dyDescent="0.25">
      <c r="A89" s="179" t="s">
        <v>63</v>
      </c>
      <c r="B89" s="284" t="str">
        <f>B69</f>
        <v>US$ 000  Nominal</v>
      </c>
      <c r="C89" s="175">
        <f t="shared" ref="C89" si="45">SUM(D89:O89)</f>
        <v>5233.6407267947752</v>
      </c>
      <c r="D89" s="186">
        <f>IF(D88&lt;0,0,D88)</f>
        <v>68.836575920569871</v>
      </c>
      <c r="E89" s="186">
        <f>IF(E88&lt;0,0,E88)</f>
        <v>110.60972511715315</v>
      </c>
      <c r="F89" s="186">
        <f t="shared" ref="F89:O89" si="46">IF(F88&lt;0,0,F88)</f>
        <v>124.06653882615645</v>
      </c>
      <c r="G89" s="186">
        <f t="shared" si="46"/>
        <v>243.6768417991027</v>
      </c>
      <c r="H89" s="186">
        <f t="shared" si="46"/>
        <v>457.93982258571737</v>
      </c>
      <c r="I89" s="186">
        <f t="shared" si="46"/>
        <v>690.6408548615168</v>
      </c>
      <c r="J89" s="186">
        <f t="shared" si="46"/>
        <v>832.52642586023978</v>
      </c>
      <c r="K89" s="186">
        <f t="shared" si="46"/>
        <v>872.92806337177558</v>
      </c>
      <c r="L89" s="186">
        <f t="shared" si="46"/>
        <v>896.68056470858312</v>
      </c>
      <c r="M89" s="186">
        <f t="shared" si="46"/>
        <v>935.73531374396009</v>
      </c>
      <c r="N89" s="186">
        <f t="shared" si="46"/>
        <v>0</v>
      </c>
      <c r="O89" s="186">
        <f t="shared" si="46"/>
        <v>0</v>
      </c>
    </row>
    <row r="90" spans="1:15" s="173" customFormat="1" x14ac:dyDescent="0.25">
      <c r="A90" s="177" t="s">
        <v>365</v>
      </c>
      <c r="B90" s="284" t="str">
        <f>B70</f>
        <v>US$ 000 Nominal</v>
      </c>
      <c r="C90" s="175"/>
      <c r="D90" s="185">
        <f>IF(D88&lt;0,D88,0)</f>
        <v>0</v>
      </c>
      <c r="E90" s="185">
        <f>IF(E88&lt;0,E88,0)</f>
        <v>0</v>
      </c>
      <c r="F90" s="185">
        <f t="shared" ref="F90:O90" si="47">IF(F88&lt;0,F88,0)</f>
        <v>0</v>
      </c>
      <c r="G90" s="185">
        <f t="shared" si="47"/>
        <v>0</v>
      </c>
      <c r="H90" s="185">
        <f t="shared" si="47"/>
        <v>0</v>
      </c>
      <c r="I90" s="185">
        <f t="shared" si="47"/>
        <v>0</v>
      </c>
      <c r="J90" s="185">
        <f t="shared" si="47"/>
        <v>0</v>
      </c>
      <c r="K90" s="185">
        <f t="shared" si="47"/>
        <v>0</v>
      </c>
      <c r="L90" s="185">
        <f t="shared" si="47"/>
        <v>0</v>
      </c>
      <c r="M90" s="185">
        <f t="shared" si="47"/>
        <v>0</v>
      </c>
      <c r="N90" s="185">
        <f t="shared" si="47"/>
        <v>0</v>
      </c>
      <c r="O90" s="185">
        <f t="shared" si="47"/>
        <v>0</v>
      </c>
    </row>
    <row r="91" spans="1:15" s="129" customFormat="1" x14ac:dyDescent="0.25">
      <c r="A91" s="143"/>
      <c r="B91" s="280"/>
      <c r="C91" s="135"/>
      <c r="D91" s="138"/>
      <c r="E91" s="138"/>
      <c r="F91" s="138"/>
      <c r="G91" s="138"/>
      <c r="H91" s="138"/>
      <c r="I91" s="138"/>
      <c r="J91" s="138"/>
      <c r="K91" s="138"/>
      <c r="L91" s="138"/>
      <c r="M91" s="138"/>
      <c r="N91" s="138"/>
      <c r="O91" s="138"/>
    </row>
    <row r="92" spans="1:15" s="129" customFormat="1" x14ac:dyDescent="0.25">
      <c r="A92" s="337" t="str">
        <f>Taxes!A76</f>
        <v>Company income tax rate</v>
      </c>
      <c r="B92" s="338" t="str">
        <f>Taxes!B76</f>
        <v>% of assessable income</v>
      </c>
      <c r="C92" s="339"/>
      <c r="D92" s="340">
        <f>Taxes!D76</f>
        <v>0.25</v>
      </c>
      <c r="E92" s="340">
        <f>Taxes!E76</f>
        <v>0.25</v>
      </c>
      <c r="F92" s="340">
        <f>Taxes!F76</f>
        <v>0.25</v>
      </c>
      <c r="G92" s="340">
        <f>Taxes!G76</f>
        <v>0.25</v>
      </c>
      <c r="H92" s="340">
        <f>Taxes!H76</f>
        <v>0.25</v>
      </c>
      <c r="I92" s="340">
        <f>Taxes!I76</f>
        <v>0.25</v>
      </c>
      <c r="J92" s="340">
        <f>Taxes!J76</f>
        <v>0.25</v>
      </c>
      <c r="K92" s="340">
        <f>Taxes!K76</f>
        <v>0.25</v>
      </c>
      <c r="L92" s="340">
        <f>Taxes!L76</f>
        <v>0.25</v>
      </c>
      <c r="M92" s="340">
        <f>Taxes!M76</f>
        <v>0.25</v>
      </c>
      <c r="N92" s="340">
        <f>Taxes!N76</f>
        <v>0.25</v>
      </c>
      <c r="O92" s="340">
        <f>Taxes!O76</f>
        <v>0.25</v>
      </c>
    </row>
    <row r="93" spans="1:15" s="134" customFormat="1" ht="21" x14ac:dyDescent="0.35">
      <c r="A93" s="349" t="s">
        <v>280</v>
      </c>
      <c r="B93" s="282" t="s">
        <v>74</v>
      </c>
      <c r="C93" s="135">
        <f>SUM(D93:O93)</f>
        <v>1308.4101816986938</v>
      </c>
      <c r="D93" s="146">
        <f>D89*D92</f>
        <v>17.209143980142468</v>
      </c>
      <c r="E93" s="146">
        <f t="shared" ref="E93:O93" si="48">E89*E92</f>
        <v>27.652431279288287</v>
      </c>
      <c r="F93" s="146">
        <f t="shared" si="48"/>
        <v>31.016634706539111</v>
      </c>
      <c r="G93" s="146">
        <f t="shared" si="48"/>
        <v>60.919210449775676</v>
      </c>
      <c r="H93" s="146">
        <f t="shared" si="48"/>
        <v>114.48495564642934</v>
      </c>
      <c r="I93" s="146">
        <f t="shared" si="48"/>
        <v>172.6602137153792</v>
      </c>
      <c r="J93" s="146">
        <f t="shared" si="48"/>
        <v>208.13160646505995</v>
      </c>
      <c r="K93" s="146">
        <f t="shared" si="48"/>
        <v>218.23201584294389</v>
      </c>
      <c r="L93" s="146">
        <f t="shared" si="48"/>
        <v>224.17014117714578</v>
      </c>
      <c r="M93" s="146">
        <f t="shared" si="48"/>
        <v>233.93382843599002</v>
      </c>
      <c r="N93" s="146">
        <f t="shared" si="48"/>
        <v>0</v>
      </c>
      <c r="O93" s="146">
        <f t="shared" si="48"/>
        <v>0</v>
      </c>
    </row>
    <row r="94" spans="1:15" s="46" customFormat="1" ht="43.7" customHeight="1" x14ac:dyDescent="0.25">
      <c r="A94" s="125" t="s">
        <v>86</v>
      </c>
      <c r="B94" s="29"/>
      <c r="C94" s="62"/>
      <c r="D94" s="62"/>
      <c r="E94" s="62"/>
      <c r="F94" s="62"/>
      <c r="G94" s="62"/>
      <c r="H94" s="62"/>
      <c r="I94" s="62"/>
      <c r="J94" s="62"/>
      <c r="K94" s="62"/>
      <c r="L94" s="62"/>
      <c r="M94" s="62"/>
      <c r="N94" s="62"/>
      <c r="O94" s="88"/>
    </row>
    <row r="95" spans="1:15" x14ac:dyDescent="0.25">
      <c r="A95" s="271" t="str">
        <f>Taxes!A56</f>
        <v>4c.  Minimum Tax</v>
      </c>
      <c r="B95" s="276" t="str">
        <f>Taxes!B56</f>
        <v>US$ 000  Real</v>
      </c>
      <c r="C95" s="270"/>
      <c r="D95" s="272">
        <f>Taxes!D56</f>
        <v>16.890909090909091</v>
      </c>
      <c r="E95" s="272">
        <f>Taxes!E56</f>
        <v>17.595102272727271</v>
      </c>
      <c r="F95" s="272">
        <f>Taxes!F56</f>
        <v>19.057217000000001</v>
      </c>
      <c r="G95" s="272">
        <f>Taxes!G56</f>
        <v>22.371028644000003</v>
      </c>
      <c r="H95" s="272">
        <f>Taxes!H56</f>
        <v>27.474551848016006</v>
      </c>
      <c r="I95" s="272">
        <f>Taxes!I56</f>
        <v>33.498832386430379</v>
      </c>
      <c r="J95" s="272">
        <f>Taxes!J56</f>
        <v>36.785113463456099</v>
      </c>
      <c r="K95" s="272">
        <f>Taxes!K56</f>
        <v>37.205463337863584</v>
      </c>
      <c r="L95" s="272">
        <f>Taxes!L56</f>
        <v>37.632001595326031</v>
      </c>
      <c r="M95" s="272">
        <f>Taxes!M56</f>
        <v>38.064853519471221</v>
      </c>
      <c r="N95" s="272">
        <f>Taxes!N56</f>
        <v>0</v>
      </c>
      <c r="O95" s="272">
        <f>Taxes!O56</f>
        <v>0</v>
      </c>
    </row>
    <row r="96" spans="1:15" s="129" customFormat="1" x14ac:dyDescent="0.25">
      <c r="A96" s="143" t="str">
        <f>A$36</f>
        <v>Inflator - US$</v>
      </c>
      <c r="B96" s="285"/>
      <c r="C96" s="135"/>
      <c r="D96" s="144">
        <f t="shared" ref="D96:O96" si="49">D$36</f>
        <v>1.0099504938362078</v>
      </c>
      <c r="E96" s="144">
        <f t="shared" si="49"/>
        <v>1.030149503712932</v>
      </c>
      <c r="F96" s="144">
        <f t="shared" si="49"/>
        <v>1.0507524937871906</v>
      </c>
      <c r="G96" s="144">
        <f t="shared" si="49"/>
        <v>1.0717675436629344</v>
      </c>
      <c r="H96" s="144">
        <f t="shared" si="49"/>
        <v>1.0932028945361931</v>
      </c>
      <c r="I96" s="144">
        <f t="shared" si="49"/>
        <v>1.115066952426917</v>
      </c>
      <c r="J96" s="144">
        <f t="shared" si="49"/>
        <v>1.1373682914754553</v>
      </c>
      <c r="K96" s="144">
        <f t="shared" si="49"/>
        <v>1.1601156573049645</v>
      </c>
      <c r="L96" s="144">
        <f t="shared" si="49"/>
        <v>1.1833179704510637</v>
      </c>
      <c r="M96" s="144">
        <f t="shared" si="49"/>
        <v>1.2069843298600851</v>
      </c>
      <c r="N96" s="144">
        <f t="shared" si="49"/>
        <v>1.2311240164572868</v>
      </c>
      <c r="O96" s="144">
        <f t="shared" si="49"/>
        <v>1.2557464967864325</v>
      </c>
    </row>
    <row r="97" spans="1:15" s="129" customFormat="1" x14ac:dyDescent="0.25">
      <c r="A97" s="143" t="s">
        <v>424</v>
      </c>
      <c r="B97" s="285" t="s">
        <v>74</v>
      </c>
      <c r="C97" s="135">
        <f t="shared" ref="C97" si="50">SUM(D97:O97)</f>
        <v>322.0493967788708</v>
      </c>
      <c r="D97" s="145">
        <f>D95*D96</f>
        <v>17.058981977706129</v>
      </c>
      <c r="E97" s="145">
        <f t="shared" ref="E97" si="51">E95*E96</f>
        <v>18.125585874028282</v>
      </c>
      <c r="F97" s="145">
        <f t="shared" ref="F97" si="52">F95*F96</f>
        <v>20.024418287393644</v>
      </c>
      <c r="G97" s="145">
        <f t="shared" ref="G97" si="53">G95*G96</f>
        <v>23.976542418993027</v>
      </c>
      <c r="H97" s="145">
        <f t="shared" ref="H97" si="54">H95*H96</f>
        <v>30.03525960633581</v>
      </c>
      <c r="I97" s="145">
        <f t="shared" ref="I97" si="55">I95*I96</f>
        <v>37.353440938997032</v>
      </c>
      <c r="J97" s="145">
        <f t="shared" ref="J97" si="56">J95*J96</f>
        <v>41.838221651661833</v>
      </c>
      <c r="K97" s="145">
        <f t="shared" ref="K97" si="57">K95*K96</f>
        <v>43.162640555541373</v>
      </c>
      <c r="L97" s="145">
        <f t="shared" ref="L97" si="58">L95*L96</f>
        <v>44.53062375179239</v>
      </c>
      <c r="M97" s="145">
        <f t="shared" ref="M97" si="59">M95*M96</f>
        <v>45.943681716421274</v>
      </c>
      <c r="N97" s="145">
        <f t="shared" ref="N97" si="60">N95*N96</f>
        <v>0</v>
      </c>
      <c r="O97" s="145">
        <f t="shared" ref="O97" si="61">O95*O96</f>
        <v>0</v>
      </c>
    </row>
    <row r="98" spans="1:15" s="17" customFormat="1" x14ac:dyDescent="0.25">
      <c r="A98" s="494" t="s">
        <v>428</v>
      </c>
      <c r="B98" s="287"/>
      <c r="C98" s="39"/>
      <c r="D98" s="89"/>
      <c r="E98" s="89"/>
      <c r="F98" s="89"/>
      <c r="G98" s="89"/>
      <c r="H98" s="89"/>
      <c r="I98" s="89"/>
      <c r="J98" s="89"/>
      <c r="K98" s="89"/>
      <c r="L98" s="89"/>
      <c r="M98" s="89"/>
      <c r="N98" s="89"/>
      <c r="O98" s="89"/>
    </row>
    <row r="99" spans="1:15" ht="21.75" customHeight="1" x14ac:dyDescent="0.25">
      <c r="A99" s="125" t="s">
        <v>282</v>
      </c>
    </row>
    <row r="100" spans="1:15" s="173" customFormat="1" x14ac:dyDescent="0.25">
      <c r="A100" s="179" t="str">
        <f>A99</f>
        <v>Income Tax/ Minimum Tax - after project funding</v>
      </c>
      <c r="B100" s="284" t="s">
        <v>74</v>
      </c>
      <c r="C100" s="175">
        <f t="shared" ref="C100:C102" si="62">SUM(D100:O100)</f>
        <v>1308.4101816986938</v>
      </c>
      <c r="D100" s="185">
        <f t="shared" ref="D100:O100" si="63">MAX(D93,D97)</f>
        <v>17.209143980142468</v>
      </c>
      <c r="E100" s="185">
        <f t="shared" si="63"/>
        <v>27.652431279288287</v>
      </c>
      <c r="F100" s="185">
        <f t="shared" si="63"/>
        <v>31.016634706539111</v>
      </c>
      <c r="G100" s="185">
        <f t="shared" si="63"/>
        <v>60.919210449775676</v>
      </c>
      <c r="H100" s="185">
        <f t="shared" si="63"/>
        <v>114.48495564642934</v>
      </c>
      <c r="I100" s="185">
        <f t="shared" si="63"/>
        <v>172.6602137153792</v>
      </c>
      <c r="J100" s="185">
        <f t="shared" si="63"/>
        <v>208.13160646505995</v>
      </c>
      <c r="K100" s="185">
        <f t="shared" si="63"/>
        <v>218.23201584294389</v>
      </c>
      <c r="L100" s="185">
        <f t="shared" si="63"/>
        <v>224.17014117714578</v>
      </c>
      <c r="M100" s="185">
        <f t="shared" si="63"/>
        <v>233.93382843599002</v>
      </c>
      <c r="N100" s="185">
        <f t="shared" si="63"/>
        <v>0</v>
      </c>
      <c r="O100" s="185">
        <f t="shared" si="63"/>
        <v>0</v>
      </c>
    </row>
    <row r="101" spans="1:15" s="129" customFormat="1" x14ac:dyDescent="0.25">
      <c r="A101" s="143" t="str">
        <f>A$36</f>
        <v>Inflator - US$</v>
      </c>
      <c r="B101" s="285"/>
      <c r="C101" s="135"/>
      <c r="D101" s="144">
        <f t="shared" ref="D101:O101" si="64">D$36</f>
        <v>1.0099504938362078</v>
      </c>
      <c r="E101" s="144">
        <f t="shared" si="64"/>
        <v>1.030149503712932</v>
      </c>
      <c r="F101" s="144">
        <f t="shared" si="64"/>
        <v>1.0507524937871906</v>
      </c>
      <c r="G101" s="144">
        <f t="shared" si="64"/>
        <v>1.0717675436629344</v>
      </c>
      <c r="H101" s="144">
        <f t="shared" si="64"/>
        <v>1.0932028945361931</v>
      </c>
      <c r="I101" s="144">
        <f t="shared" si="64"/>
        <v>1.115066952426917</v>
      </c>
      <c r="J101" s="144">
        <f t="shared" si="64"/>
        <v>1.1373682914754553</v>
      </c>
      <c r="K101" s="144">
        <f t="shared" si="64"/>
        <v>1.1601156573049645</v>
      </c>
      <c r="L101" s="144">
        <f t="shared" si="64"/>
        <v>1.1833179704510637</v>
      </c>
      <c r="M101" s="144">
        <f t="shared" si="64"/>
        <v>1.2069843298600851</v>
      </c>
      <c r="N101" s="144">
        <f t="shared" si="64"/>
        <v>1.2311240164572868</v>
      </c>
      <c r="O101" s="144">
        <f t="shared" si="64"/>
        <v>1.2557464967864325</v>
      </c>
    </row>
    <row r="102" spans="1:15" s="318" customFormat="1" ht="21" x14ac:dyDescent="0.35">
      <c r="A102" s="372" t="str">
        <f>A100</f>
        <v>Income Tax/ Minimum Tax - after project funding</v>
      </c>
      <c r="B102" s="348" t="s">
        <v>25</v>
      </c>
      <c r="C102" s="183">
        <f t="shared" si="62"/>
        <v>1144.1735431151528</v>
      </c>
      <c r="D102" s="373">
        <f>D100/D101</f>
        <v>17.039591628669889</v>
      </c>
      <c r="E102" s="373">
        <f t="shared" ref="E102:O102" si="65">E100/E101</f>
        <v>26.843124400508461</v>
      </c>
      <c r="F102" s="373">
        <f t="shared" si="65"/>
        <v>29.518497353022628</v>
      </c>
      <c r="G102" s="373">
        <f t="shared" si="65"/>
        <v>56.839947066856197</v>
      </c>
      <c r="H102" s="373">
        <f t="shared" si="65"/>
        <v>104.72434368644917</v>
      </c>
      <c r="I102" s="373">
        <f t="shared" si="65"/>
        <v>154.84291175483975</v>
      </c>
      <c r="J102" s="373">
        <f t="shared" si="65"/>
        <v>182.9940293087127</v>
      </c>
      <c r="K102" s="373">
        <f t="shared" si="65"/>
        <v>188.1122924846245</v>
      </c>
      <c r="L102" s="373">
        <f t="shared" si="65"/>
        <v>189.44201539650021</v>
      </c>
      <c r="M102" s="373">
        <f t="shared" si="65"/>
        <v>193.81679003496913</v>
      </c>
      <c r="N102" s="373">
        <f t="shared" si="65"/>
        <v>0</v>
      </c>
      <c r="O102" s="373">
        <f t="shared" si="65"/>
        <v>0</v>
      </c>
    </row>
    <row r="103" spans="1:15" ht="48" customHeight="1" x14ac:dyDescent="0.25">
      <c r="A103" s="38" t="s">
        <v>275</v>
      </c>
      <c r="C103" s="39"/>
      <c r="D103" s="73"/>
      <c r="E103" s="73"/>
      <c r="F103" s="73"/>
      <c r="G103" s="73"/>
      <c r="H103" s="73"/>
      <c r="I103" s="73"/>
      <c r="J103" s="73"/>
      <c r="K103" s="73"/>
      <c r="L103" s="73"/>
      <c r="M103" s="73"/>
      <c r="N103" s="73"/>
      <c r="O103" s="73"/>
    </row>
    <row r="104" spans="1:15" x14ac:dyDescent="0.25">
      <c r="A104" s="148" t="s">
        <v>386</v>
      </c>
      <c r="C104" s="4"/>
    </row>
    <row r="105" spans="1:15" x14ac:dyDescent="0.25">
      <c r="A105" s="271" t="str">
        <f>Taxes!A79</f>
        <v>4e  Income Tax or Minimum Tax  (before project funding)</v>
      </c>
      <c r="B105" s="276" t="str">
        <f>Taxes!B79</f>
        <v>US$ 000 Real</v>
      </c>
      <c r="C105" s="272">
        <f>Taxes!C79</f>
        <v>1155.432603649248</v>
      </c>
      <c r="D105" s="272">
        <f>Taxes!D79</f>
        <v>18.556148194271486</v>
      </c>
      <c r="E105" s="272">
        <f>Taxes!E79</f>
        <v>31.68131683271065</v>
      </c>
      <c r="F105" s="272">
        <f>Taxes!F79</f>
        <v>33.596102258986264</v>
      </c>
      <c r="G105" s="272">
        <f>Taxes!G79</f>
        <v>57.666653697184074</v>
      </c>
      <c r="H105" s="272">
        <f>Taxes!H79</f>
        <v>104.72434368644917</v>
      </c>
      <c r="I105" s="272">
        <f>Taxes!I79</f>
        <v>154.84291175483975</v>
      </c>
      <c r="J105" s="272">
        <f>Taxes!J79</f>
        <v>182.9940293087127</v>
      </c>
      <c r="K105" s="272">
        <f>Taxes!K79</f>
        <v>188.1122924846245</v>
      </c>
      <c r="L105" s="272">
        <f>Taxes!L79</f>
        <v>189.44201539650021</v>
      </c>
      <c r="M105" s="272">
        <f>Taxes!M79</f>
        <v>193.81679003496913</v>
      </c>
      <c r="N105" s="272">
        <f>Taxes!N79</f>
        <v>0</v>
      </c>
      <c r="O105" s="272">
        <f>Taxes!O79</f>
        <v>0</v>
      </c>
    </row>
    <row r="106" spans="1:15" s="306" customFormat="1" x14ac:dyDescent="0.25">
      <c r="A106" s="347" t="s">
        <v>279</v>
      </c>
      <c r="B106" s="348" t="str">
        <f>B102</f>
        <v>US$ 000 Real</v>
      </c>
      <c r="C106" s="183">
        <f t="shared" ref="C106" si="66">SUM(D106:O106)</f>
        <v>-11.259060534095298</v>
      </c>
      <c r="D106" s="308">
        <f>D102-D105</f>
        <v>-1.5165565656015971</v>
      </c>
      <c r="E106" s="308">
        <f t="shared" ref="E106" si="67">E102-E105</f>
        <v>-4.8381924322021881</v>
      </c>
      <c r="F106" s="308">
        <f t="shared" ref="F106" si="68">F102-F105</f>
        <v>-4.0776049059636357</v>
      </c>
      <c r="G106" s="308">
        <f t="shared" ref="G106" si="69">G102-G105</f>
        <v>-0.82670663032787672</v>
      </c>
      <c r="H106" s="308">
        <f t="shared" ref="H106" si="70">H102-H105</f>
        <v>0</v>
      </c>
      <c r="I106" s="308">
        <f t="shared" ref="I106" si="71">I102-I105</f>
        <v>0</v>
      </c>
      <c r="J106" s="308">
        <f t="shared" ref="J106" si="72">J102-J105</f>
        <v>0</v>
      </c>
      <c r="K106" s="308">
        <f t="shared" ref="K106" si="73">K102-K105</f>
        <v>0</v>
      </c>
      <c r="L106" s="308">
        <f t="shared" ref="L106" si="74">L102-L105</f>
        <v>0</v>
      </c>
      <c r="M106" s="308">
        <f t="shared" ref="M106" si="75">M102-M105</f>
        <v>0</v>
      </c>
      <c r="N106" s="308">
        <f t="shared" ref="N106" si="76">N102-N105</f>
        <v>0</v>
      </c>
      <c r="O106" s="308">
        <f t="shared" ref="O106" si="77">O102-O105</f>
        <v>0</v>
      </c>
    </row>
    <row r="111" spans="1:15" x14ac:dyDescent="0.25">
      <c r="A111" s="8" t="s">
        <v>425</v>
      </c>
    </row>
    <row r="112" spans="1:15" x14ac:dyDescent="0.25">
      <c r="A112" s="8" t="s">
        <v>426</v>
      </c>
    </row>
    <row r="114" spans="1:1" x14ac:dyDescent="0.25">
      <c r="A114" s="492" t="s">
        <v>427</v>
      </c>
    </row>
  </sheetData>
  <pageMargins left="0.70866141732283472" right="0.70866141732283472" top="0.74803149606299213" bottom="0.74803149606299213" header="0.31496062992125984" footer="0.31496062992125984"/>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8FA34-AF35-4225-BEFE-BEFD59B45F63}">
  <dimension ref="A1:AB135"/>
  <sheetViews>
    <sheetView zoomScale="70" zoomScaleNormal="70" workbookViewId="0">
      <selection activeCell="Q41" sqref="Q41"/>
    </sheetView>
  </sheetViews>
  <sheetFormatPr defaultColWidth="8.85546875" defaultRowHeight="15" x14ac:dyDescent="0.25"/>
  <cols>
    <col min="1" max="1" width="50.42578125" style="3" customWidth="1"/>
    <col min="2" max="2" width="17.85546875" style="467" customWidth="1"/>
    <col min="3" max="3" width="14.28515625" style="398" customWidth="1"/>
    <col min="4" max="15" width="10.7109375" customWidth="1"/>
  </cols>
  <sheetData>
    <row r="1" spans="1:17" s="33" customFormat="1" ht="24" customHeight="1" x14ac:dyDescent="0.25">
      <c r="A1" s="390" t="str">
        <f>'Intro, Audits &amp; Log'!A1</f>
        <v>Business Model of 'Social Enterprise ABC' incl funding and accounting 10 years - Base Case</v>
      </c>
      <c r="B1" s="466"/>
      <c r="C1" s="389"/>
    </row>
    <row r="2" spans="1:17" s="34" customFormat="1" ht="36" x14ac:dyDescent="0.25">
      <c r="A2" s="151" t="s">
        <v>417</v>
      </c>
      <c r="B2" s="386"/>
      <c r="C2" s="7"/>
      <c r="D2" s="33"/>
      <c r="E2" s="33"/>
      <c r="F2" s="33"/>
      <c r="G2" s="33"/>
      <c r="H2" s="33"/>
      <c r="I2" s="33"/>
      <c r="J2" s="33"/>
      <c r="K2" s="33"/>
      <c r="L2" s="33"/>
      <c r="M2" s="33"/>
      <c r="N2" s="33"/>
      <c r="O2" s="33"/>
    </row>
    <row r="4" spans="1:17" x14ac:dyDescent="0.25">
      <c r="A4" s="389" t="str">
        <f>'Sales&amp;Revenue'!A$52</f>
        <v>Years --&gt;</v>
      </c>
      <c r="B4" s="468" t="str">
        <f>'Sales&amp;Revenue'!B$52</f>
        <v>units</v>
      </c>
      <c r="C4" s="389" t="str">
        <f>'Sales&amp;Revenue'!C$52</f>
        <v>Total</v>
      </c>
      <c r="D4" s="389">
        <f>'Sales&amp;Revenue'!D$52</f>
        <v>2019</v>
      </c>
      <c r="E4" s="389">
        <f>'Sales&amp;Revenue'!E$52</f>
        <v>2020</v>
      </c>
      <c r="F4" s="389">
        <f>'Sales&amp;Revenue'!F$52</f>
        <v>2021</v>
      </c>
      <c r="G4" s="389">
        <f>'Sales&amp;Revenue'!G$52</f>
        <v>2022</v>
      </c>
      <c r="H4" s="389">
        <f>'Sales&amp;Revenue'!H$52</f>
        <v>2023</v>
      </c>
      <c r="I4" s="389">
        <f>'Sales&amp;Revenue'!I$52</f>
        <v>2024</v>
      </c>
      <c r="J4" s="389">
        <f>'Sales&amp;Revenue'!J$52</f>
        <v>2025</v>
      </c>
      <c r="K4" s="389">
        <f>'Sales&amp;Revenue'!K$52</f>
        <v>2026</v>
      </c>
      <c r="L4" s="389">
        <f>'Sales&amp;Revenue'!L$52</f>
        <v>2027</v>
      </c>
      <c r="M4" s="389">
        <f>'Sales&amp;Revenue'!M$52</f>
        <v>2028</v>
      </c>
      <c r="N4" s="389">
        <f>'Sales&amp;Revenue'!N$52</f>
        <v>2029</v>
      </c>
      <c r="O4" s="389">
        <f>'Sales&amp;Revenue'!O$52</f>
        <v>2030</v>
      </c>
    </row>
    <row r="5" spans="1:17" ht="27" customHeight="1" x14ac:dyDescent="0.35">
      <c r="A5" s="408" t="s">
        <v>430</v>
      </c>
    </row>
    <row r="6" spans="1:17" ht="15" customHeight="1" x14ac:dyDescent="0.25"/>
    <row r="7" spans="1:17" ht="31.5" x14ac:dyDescent="0.5">
      <c r="A7" s="487" t="s">
        <v>88</v>
      </c>
    </row>
    <row r="8" spans="1:17" x14ac:dyDescent="0.25">
      <c r="C8" s="156"/>
      <c r="D8" s="155"/>
      <c r="E8" s="155"/>
      <c r="F8" s="155"/>
      <c r="G8" s="155"/>
      <c r="H8" s="155"/>
      <c r="I8" s="155"/>
      <c r="J8" s="155"/>
      <c r="K8" s="155"/>
      <c r="L8" s="155"/>
      <c r="M8" s="155"/>
      <c r="N8" s="155"/>
      <c r="O8" s="155"/>
      <c r="P8" s="155"/>
      <c r="Q8" s="155"/>
    </row>
    <row r="9" spans="1:17" x14ac:dyDescent="0.25">
      <c r="A9" s="157" t="s">
        <v>91</v>
      </c>
      <c r="C9" s="156"/>
      <c r="D9" s="155"/>
      <c r="E9" s="155"/>
      <c r="F9" s="155"/>
      <c r="G9" s="155"/>
      <c r="H9" s="155"/>
      <c r="I9" s="155"/>
      <c r="J9" s="155"/>
      <c r="K9" s="155"/>
      <c r="L9" s="155"/>
      <c r="M9" s="155"/>
      <c r="N9" s="155"/>
      <c r="O9" s="155"/>
      <c r="P9" s="155"/>
      <c r="Q9" s="155"/>
    </row>
    <row r="10" spans="1:17" s="437" customFormat="1" x14ac:dyDescent="0.25">
      <c r="A10" s="437" t="str">
        <f>A69</f>
        <v>Revenue from ABC units</v>
      </c>
      <c r="B10" s="469" t="str">
        <f>B69</f>
        <v>US$ 000 Nominal</v>
      </c>
      <c r="C10" s="441">
        <f t="shared" ref="C10:C32" si="0">SUM(D10:O10)</f>
        <v>32294.578905571849</v>
      </c>
      <c r="D10" s="442">
        <f t="shared" ref="D10:O10" si="1">D69</f>
        <v>1787.6123740900878</v>
      </c>
      <c r="E10" s="442">
        <f t="shared" si="1"/>
        <v>1890.8806200452352</v>
      </c>
      <c r="F10" s="442">
        <f t="shared" si="1"/>
        <v>2079.1366945769387</v>
      </c>
      <c r="G10" s="442">
        <f t="shared" si="1"/>
        <v>2458.5693950370819</v>
      </c>
      <c r="H10" s="442">
        <f t="shared" si="1"/>
        <v>3016.3964498240271</v>
      </c>
      <c r="I10" s="442">
        <f t="shared" si="1"/>
        <v>3713.455187858749</v>
      </c>
      <c r="J10" s="442">
        <f t="shared" si="1"/>
        <v>4149.3176416524166</v>
      </c>
      <c r="K10" s="442">
        <f t="shared" si="1"/>
        <v>4272.0876520336269</v>
      </c>
      <c r="L10" s="442">
        <f t="shared" si="1"/>
        <v>4398.4901814819987</v>
      </c>
      <c r="M10" s="442">
        <f t="shared" si="1"/>
        <v>4528.6327089716879</v>
      </c>
      <c r="N10" s="442">
        <f t="shared" si="1"/>
        <v>0</v>
      </c>
      <c r="O10" s="442">
        <f t="shared" si="1"/>
        <v>0</v>
      </c>
      <c r="P10" s="439"/>
      <c r="Q10" s="439"/>
    </row>
    <row r="11" spans="1:17" s="437" customFormat="1" x14ac:dyDescent="0.25">
      <c r="A11" s="437" t="str">
        <f>A71</f>
        <v xml:space="preserve">Cash Grants from Results Based Financing </v>
      </c>
      <c r="B11" s="469" t="str">
        <f>B71</f>
        <v>US$ 000 Nominal</v>
      </c>
      <c r="C11" s="441">
        <f t="shared" si="0"/>
        <v>1657.1022949873852</v>
      </c>
      <c r="D11" s="442">
        <f t="shared" ref="D11:O11" si="2">D71</f>
        <v>80.796039506896619</v>
      </c>
      <c r="E11" s="442">
        <f t="shared" si="2"/>
        <v>87.047633063742751</v>
      </c>
      <c r="F11" s="442">
        <f t="shared" si="2"/>
        <v>97.667444297519367</v>
      </c>
      <c r="G11" s="442">
        <f t="shared" si="2"/>
        <v>118.24811309233155</v>
      </c>
      <c r="H11" s="442">
        <f t="shared" si="2"/>
        <v>149.34135421969484</v>
      </c>
      <c r="I11" s="442">
        <f t="shared" si="2"/>
        <v>189.1977585793895</v>
      </c>
      <c r="J11" s="442">
        <f t="shared" si="2"/>
        <v>216.69222011023217</v>
      </c>
      <c r="K11" s="442">
        <f t="shared" si="2"/>
        <v>227.65684644780995</v>
      </c>
      <c r="L11" s="442">
        <f t="shared" si="2"/>
        <v>239.17628287806912</v>
      </c>
      <c r="M11" s="442">
        <f t="shared" si="2"/>
        <v>251.2786027916994</v>
      </c>
      <c r="N11" s="442">
        <f t="shared" si="2"/>
        <v>0</v>
      </c>
      <c r="O11" s="442">
        <f t="shared" si="2"/>
        <v>0</v>
      </c>
      <c r="P11" s="439"/>
      <c r="Q11" s="439"/>
    </row>
    <row r="12" spans="1:17" s="437" customFormat="1" x14ac:dyDescent="0.25">
      <c r="A12" s="437" t="str">
        <f>A73</f>
        <v>Commissions from international sales of ABC's</v>
      </c>
      <c r="B12" s="469" t="str">
        <f>B73</f>
        <v>US$ 000 Nominal</v>
      </c>
      <c r="C12" s="441">
        <f t="shared" si="0"/>
        <v>1189.1292869252841</v>
      </c>
      <c r="D12" s="442">
        <f t="shared" ref="D12:O12" si="3">D73</f>
        <v>0</v>
      </c>
      <c r="E12" s="442">
        <f t="shared" si="3"/>
        <v>6.5285724797807072</v>
      </c>
      <c r="F12" s="442">
        <f t="shared" si="3"/>
        <v>14.650116644627905</v>
      </c>
      <c r="G12" s="442">
        <f t="shared" si="3"/>
        <v>44.343042409624331</v>
      </c>
      <c r="H12" s="442">
        <f t="shared" si="3"/>
        <v>112.00601566477114</v>
      </c>
      <c r="I12" s="442">
        <f t="shared" si="3"/>
        <v>170.27798272145054</v>
      </c>
      <c r="J12" s="442">
        <f t="shared" si="3"/>
        <v>195.02299809920896</v>
      </c>
      <c r="K12" s="442">
        <f t="shared" si="3"/>
        <v>204.89116180302892</v>
      </c>
      <c r="L12" s="442">
        <f t="shared" si="3"/>
        <v>215.25865459026221</v>
      </c>
      <c r="M12" s="442">
        <f t="shared" si="3"/>
        <v>226.15074251252949</v>
      </c>
      <c r="N12" s="442">
        <f t="shared" si="3"/>
        <v>0</v>
      </c>
      <c r="O12" s="442">
        <f t="shared" si="3"/>
        <v>0</v>
      </c>
      <c r="P12" s="439"/>
      <c r="Q12" s="439"/>
    </row>
    <row r="13" spans="1:17" s="437" customFormat="1" x14ac:dyDescent="0.25">
      <c r="A13" s="443" t="s">
        <v>91</v>
      </c>
      <c r="B13" s="469" t="s">
        <v>74</v>
      </c>
      <c r="C13" s="441">
        <f t="shared" si="0"/>
        <v>35140.810487484516</v>
      </c>
      <c r="D13" s="444">
        <f>SUM(D10:D12)</f>
        <v>1868.4084135969845</v>
      </c>
      <c r="E13" s="444">
        <f t="shared" ref="E13:O13" si="4">SUM(E10:E12)</f>
        <v>1984.4568255887586</v>
      </c>
      <c r="F13" s="444">
        <f t="shared" si="4"/>
        <v>2191.454255519086</v>
      </c>
      <c r="G13" s="444">
        <f t="shared" si="4"/>
        <v>2621.160550539038</v>
      </c>
      <c r="H13" s="444">
        <f t="shared" si="4"/>
        <v>3277.743819708493</v>
      </c>
      <c r="I13" s="444">
        <f t="shared" si="4"/>
        <v>4072.9309291595887</v>
      </c>
      <c r="J13" s="444">
        <f t="shared" si="4"/>
        <v>4561.032859861858</v>
      </c>
      <c r="K13" s="444">
        <f t="shared" si="4"/>
        <v>4704.6356602844653</v>
      </c>
      <c r="L13" s="444">
        <f t="shared" si="4"/>
        <v>4852.9251189503302</v>
      </c>
      <c r="M13" s="444">
        <f t="shared" si="4"/>
        <v>5006.0620542759161</v>
      </c>
      <c r="N13" s="444">
        <f t="shared" si="4"/>
        <v>0</v>
      </c>
      <c r="O13" s="444">
        <f t="shared" si="4"/>
        <v>0</v>
      </c>
      <c r="P13" s="439"/>
      <c r="Q13" s="439"/>
    </row>
    <row r="14" spans="1:17" x14ac:dyDescent="0.25">
      <c r="B14" s="386"/>
      <c r="C14" s="191"/>
      <c r="D14" s="192"/>
      <c r="E14" s="192"/>
      <c r="F14" s="192"/>
      <c r="G14" s="192"/>
      <c r="H14" s="192"/>
      <c r="I14" s="192"/>
      <c r="J14" s="192"/>
      <c r="K14" s="192"/>
      <c r="L14" s="192"/>
      <c r="M14" s="192"/>
      <c r="N14" s="192"/>
      <c r="O14" s="192"/>
      <c r="P14" s="155"/>
      <c r="Q14" s="155"/>
    </row>
    <row r="15" spans="1:17" x14ac:dyDescent="0.25">
      <c r="A15" s="157" t="s">
        <v>92</v>
      </c>
      <c r="B15" s="386"/>
      <c r="C15" s="191"/>
      <c r="D15" s="192"/>
      <c r="E15" s="192"/>
      <c r="F15" s="192"/>
      <c r="G15" s="192"/>
      <c r="H15" s="192"/>
      <c r="I15" s="192"/>
      <c r="J15" s="192"/>
      <c r="K15" s="192"/>
      <c r="L15" s="192"/>
      <c r="M15" s="192"/>
      <c r="N15" s="192"/>
      <c r="O15" s="192"/>
      <c r="P15" s="155"/>
      <c r="Q15" s="155"/>
    </row>
    <row r="16" spans="1:17" s="437" customFormat="1" ht="15.75" x14ac:dyDescent="0.25">
      <c r="A16" s="437" t="s">
        <v>93</v>
      </c>
      <c r="B16" s="469" t="s">
        <v>73</v>
      </c>
      <c r="C16" s="441"/>
      <c r="D16" s="445">
        <v>0</v>
      </c>
      <c r="E16" s="442">
        <f>-D18</f>
        <v>-80.519340741462045</v>
      </c>
      <c r="F16" s="442">
        <f t="shared" ref="F16:O16" si="5">-E18</f>
        <v>-85.299765700319696</v>
      </c>
      <c r="G16" s="442">
        <f t="shared" si="5"/>
        <v>-93.79221037344351</v>
      </c>
      <c r="H16" s="442">
        <f t="shared" si="5"/>
        <v>-110.59952995570718</v>
      </c>
      <c r="I16" s="442">
        <f t="shared" si="5"/>
        <v>-134.70569990044478</v>
      </c>
      <c r="J16" s="442">
        <f t="shared" si="5"/>
        <v>-164.65128501207047</v>
      </c>
      <c r="K16" s="442">
        <f t="shared" si="5"/>
        <v>-183.268448209387</v>
      </c>
      <c r="L16" s="442">
        <f t="shared" si="5"/>
        <v>-188.6909950550064</v>
      </c>
      <c r="M16" s="442">
        <f t="shared" si="5"/>
        <v>-194.27398421669389</v>
      </c>
      <c r="N16" s="442">
        <f t="shared" si="5"/>
        <v>0</v>
      </c>
      <c r="O16" s="442">
        <f t="shared" si="5"/>
        <v>0</v>
      </c>
      <c r="P16" s="439"/>
      <c r="Q16" s="439"/>
    </row>
    <row r="17" spans="1:28" s="437" customFormat="1" x14ac:dyDescent="0.25">
      <c r="A17" s="437" t="str">
        <f>A77</f>
        <v>Cost of purchasing ABC units ex-factory</v>
      </c>
      <c r="B17" s="469" t="str">
        <f>B77</f>
        <v>US$ 000 Nominal</v>
      </c>
      <c r="C17" s="441">
        <f t="shared" si="0"/>
        <v>-17469.679288489497</v>
      </c>
      <c r="D17" s="442">
        <f>-D77</f>
        <v>-1060.1713197625836</v>
      </c>
      <c r="E17" s="442">
        <f t="shared" ref="E17:O17" si="6">-E77</f>
        <v>-1042.6264487157105</v>
      </c>
      <c r="F17" s="442">
        <f t="shared" si="6"/>
        <v>-1149.6651241229667</v>
      </c>
      <c r="G17" s="442">
        <f t="shared" si="6"/>
        <v>-1362.4724509275172</v>
      </c>
      <c r="H17" s="442">
        <f t="shared" si="6"/>
        <v>-1663.069758545465</v>
      </c>
      <c r="I17" s="442">
        <f t="shared" si="6"/>
        <v>-2033.2567683717764</v>
      </c>
      <c r="J17" s="442">
        <f t="shared" si="6"/>
        <v>-2248.4491435921968</v>
      </c>
      <c r="K17" s="442">
        <f t="shared" si="6"/>
        <v>-2301.2362940608141</v>
      </c>
      <c r="L17" s="442">
        <f t="shared" si="6"/>
        <v>-2369.325273529485</v>
      </c>
      <c r="M17" s="442">
        <f t="shared" si="6"/>
        <v>-2239.4067068609784</v>
      </c>
      <c r="N17" s="442">
        <f t="shared" si="6"/>
        <v>0</v>
      </c>
      <c r="O17" s="442">
        <f t="shared" si="6"/>
        <v>0</v>
      </c>
      <c r="P17" s="439"/>
      <c r="Q17" s="439"/>
    </row>
    <row r="18" spans="1:28" s="437" customFormat="1" x14ac:dyDescent="0.25">
      <c r="A18" s="437" t="str">
        <f>A81</f>
        <v>Working stocks of ABC's - closing</v>
      </c>
      <c r="B18" s="469" t="str">
        <f>B81</f>
        <v>US$ 000 Nominal</v>
      </c>
      <c r="C18" s="441"/>
      <c r="D18" s="442">
        <f t="shared" ref="D18:O18" si="7">D81</f>
        <v>80.519340741462045</v>
      </c>
      <c r="E18" s="442">
        <f t="shared" si="7"/>
        <v>85.299765700319696</v>
      </c>
      <c r="F18" s="442">
        <f t="shared" si="7"/>
        <v>93.79221037344351</v>
      </c>
      <c r="G18" s="442">
        <f t="shared" si="7"/>
        <v>110.59952995570718</v>
      </c>
      <c r="H18" s="442">
        <f t="shared" si="7"/>
        <v>134.70569990044478</v>
      </c>
      <c r="I18" s="442">
        <f t="shared" si="7"/>
        <v>164.65128501207047</v>
      </c>
      <c r="J18" s="442">
        <f t="shared" si="7"/>
        <v>183.268448209387</v>
      </c>
      <c r="K18" s="442">
        <f t="shared" si="7"/>
        <v>188.6909950550064</v>
      </c>
      <c r="L18" s="442">
        <f t="shared" si="7"/>
        <v>194.27398421669389</v>
      </c>
      <c r="M18" s="442">
        <f t="shared" si="7"/>
        <v>0</v>
      </c>
      <c r="N18" s="442">
        <f t="shared" si="7"/>
        <v>0</v>
      </c>
      <c r="O18" s="442">
        <f t="shared" si="7"/>
        <v>0</v>
      </c>
      <c r="P18" s="439"/>
      <c r="Q18" s="439"/>
    </row>
    <row r="19" spans="1:28" s="437" customFormat="1" x14ac:dyDescent="0.25">
      <c r="A19" s="443" t="s">
        <v>92</v>
      </c>
      <c r="B19" s="469" t="s">
        <v>73</v>
      </c>
      <c r="C19" s="441">
        <f t="shared" si="0"/>
        <v>-17469.679288489497</v>
      </c>
      <c r="D19" s="444">
        <f>SUM(D16:D18)</f>
        <v>-979.65197902112152</v>
      </c>
      <c r="E19" s="444">
        <f>SUM(E16:E18)</f>
        <v>-1037.8460237568527</v>
      </c>
      <c r="F19" s="444">
        <f t="shared" ref="F19:O19" si="8">SUM(F16:F18)</f>
        <v>-1141.1726794498429</v>
      </c>
      <c r="G19" s="444">
        <f t="shared" si="8"/>
        <v>-1345.6651313452537</v>
      </c>
      <c r="H19" s="444">
        <f t="shared" si="8"/>
        <v>-1638.9635886007272</v>
      </c>
      <c r="I19" s="444">
        <f t="shared" si="8"/>
        <v>-2003.3111832601505</v>
      </c>
      <c r="J19" s="444">
        <f t="shared" si="8"/>
        <v>-2229.8319803948802</v>
      </c>
      <c r="K19" s="444">
        <f t="shared" si="8"/>
        <v>-2295.8137472151948</v>
      </c>
      <c r="L19" s="444">
        <f t="shared" si="8"/>
        <v>-2363.7422843677978</v>
      </c>
      <c r="M19" s="444">
        <f t="shared" si="8"/>
        <v>-2433.6806910776722</v>
      </c>
      <c r="N19" s="444">
        <f t="shared" si="8"/>
        <v>0</v>
      </c>
      <c r="O19" s="444">
        <f t="shared" si="8"/>
        <v>0</v>
      </c>
      <c r="P19" s="439"/>
      <c r="Q19" s="439"/>
    </row>
    <row r="20" spans="1:28" x14ac:dyDescent="0.25">
      <c r="B20" s="470"/>
      <c r="C20" s="155"/>
      <c r="D20" s="155"/>
      <c r="E20" s="155"/>
      <c r="F20" s="155"/>
      <c r="G20" s="155"/>
      <c r="H20" s="155"/>
      <c r="I20" s="155"/>
      <c r="J20" s="155"/>
      <c r="K20" s="155"/>
      <c r="L20" s="155"/>
      <c r="M20" s="155"/>
      <c r="N20" s="155"/>
      <c r="O20" s="155"/>
      <c r="P20" s="155"/>
      <c r="Q20" s="155"/>
    </row>
    <row r="21" spans="1:28" x14ac:dyDescent="0.25">
      <c r="A21" s="157" t="s">
        <v>94</v>
      </c>
      <c r="B21" s="386"/>
      <c r="C21" s="191"/>
      <c r="D21" s="192"/>
      <c r="E21" s="192"/>
      <c r="F21" s="192"/>
      <c r="G21" s="192"/>
      <c r="H21" s="192"/>
      <c r="I21" s="192"/>
      <c r="J21" s="192"/>
      <c r="K21" s="192"/>
      <c r="L21" s="192"/>
      <c r="M21" s="192"/>
      <c r="N21" s="192"/>
      <c r="O21" s="192"/>
      <c r="P21" s="155"/>
      <c r="Q21" s="155"/>
    </row>
    <row r="22" spans="1:28" s="437" customFormat="1" x14ac:dyDescent="0.25">
      <c r="A22" s="437" t="str">
        <f>A88</f>
        <v>Expenses (incl WHT)</v>
      </c>
      <c r="B22" s="469" t="str">
        <f>B88</f>
        <v>US$ 000 Nominal</v>
      </c>
      <c r="C22" s="441">
        <f t="shared" si="0"/>
        <v>-11082.591674244743</v>
      </c>
      <c r="D22" s="442">
        <f>-D88</f>
        <v>-684.65747893484945</v>
      </c>
      <c r="E22" s="442">
        <f t="shared" ref="E22:O22" si="9">-E88</f>
        <v>-705.17554537110766</v>
      </c>
      <c r="F22" s="442">
        <f t="shared" si="9"/>
        <v>-774.32716977286577</v>
      </c>
      <c r="G22" s="442">
        <f t="shared" si="9"/>
        <v>-890.73663784948099</v>
      </c>
      <c r="H22" s="442">
        <f t="shared" si="9"/>
        <v>-1041.7823364099004</v>
      </c>
      <c r="I22" s="442">
        <f t="shared" si="9"/>
        <v>-1232.6956264772348</v>
      </c>
      <c r="J22" s="442">
        <f t="shared" si="9"/>
        <v>-1363.2552118574804</v>
      </c>
      <c r="K22" s="442">
        <f t="shared" si="9"/>
        <v>-1417.6098678812989</v>
      </c>
      <c r="L22" s="442">
        <f t="shared" si="9"/>
        <v>-1477.8704084165302</v>
      </c>
      <c r="M22" s="442">
        <f t="shared" si="9"/>
        <v>-1494.4813912739933</v>
      </c>
      <c r="N22" s="442">
        <f t="shared" si="9"/>
        <v>0</v>
      </c>
      <c r="O22" s="442">
        <f t="shared" si="9"/>
        <v>0</v>
      </c>
      <c r="P22" s="439"/>
      <c r="Q22" s="439"/>
    </row>
    <row r="23" spans="1:28" x14ac:dyDescent="0.25">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s="437" customFormat="1" x14ac:dyDescent="0.25">
      <c r="A24" s="157" t="s">
        <v>401</v>
      </c>
      <c r="B24" s="469"/>
      <c r="C24" s="441"/>
      <c r="D24" s="442"/>
      <c r="E24" s="442"/>
      <c r="F24" s="442"/>
      <c r="G24" s="442"/>
      <c r="H24" s="442"/>
      <c r="I24" s="442"/>
      <c r="J24" s="442"/>
      <c r="K24" s="442"/>
      <c r="L24" s="442"/>
      <c r="M24" s="442"/>
      <c r="N24" s="442"/>
      <c r="O24" s="442"/>
      <c r="P24" s="439"/>
      <c r="Q24" s="439"/>
    </row>
    <row r="25" spans="1:28" s="437" customFormat="1" x14ac:dyDescent="0.25">
      <c r="A25" s="440" t="str">
        <f>A105</f>
        <v>Accounting depreciation (after erosion by local inflation above US inflation)</v>
      </c>
      <c r="B25" s="471" t="str">
        <f>B105</f>
        <v>US$ 000  Nominal</v>
      </c>
      <c r="C25" s="441">
        <f t="shared" si="0"/>
        <v>-1067.7250419880986</v>
      </c>
      <c r="D25" s="454">
        <f>-D105</f>
        <v>-78.731130988888538</v>
      </c>
      <c r="E25" s="454">
        <f t="shared" ref="E25:O25" si="10">-E105</f>
        <v>-78.452601044352377</v>
      </c>
      <c r="F25" s="454">
        <f t="shared" si="10"/>
        <v>-81.413076555460023</v>
      </c>
      <c r="G25" s="454">
        <f t="shared" si="10"/>
        <v>-91.165921385649639</v>
      </c>
      <c r="H25" s="454">
        <f t="shared" si="10"/>
        <v>-106.49086492300299</v>
      </c>
      <c r="I25" s="454">
        <f t="shared" si="10"/>
        <v>-124.77920641612963</v>
      </c>
      <c r="J25" s="454">
        <f t="shared" si="10"/>
        <v>-132.17932031336872</v>
      </c>
      <c r="K25" s="454">
        <f t="shared" si="10"/>
        <v>-128.4383961535564</v>
      </c>
      <c r="L25" s="454">
        <f t="shared" si="10"/>
        <v>-124.80334720581423</v>
      </c>
      <c r="M25" s="454">
        <f t="shared" si="10"/>
        <v>-121.27117700187607</v>
      </c>
      <c r="N25" s="454">
        <f t="shared" si="10"/>
        <v>0</v>
      </c>
      <c r="O25" s="454">
        <f t="shared" si="10"/>
        <v>0</v>
      </c>
      <c r="P25" s="439"/>
      <c r="Q25" s="439"/>
    </row>
    <row r="26" spans="1:28" x14ac:dyDescent="0.25">
      <c r="B26" s="386"/>
      <c r="C26" s="191"/>
      <c r="D26" s="193"/>
      <c r="E26" s="193"/>
      <c r="F26" s="193"/>
      <c r="G26" s="193"/>
      <c r="H26" s="193"/>
      <c r="I26" s="193"/>
      <c r="J26" s="193"/>
      <c r="K26" s="193"/>
      <c r="L26" s="193"/>
      <c r="M26" s="193"/>
      <c r="N26" s="193"/>
      <c r="O26" s="193"/>
      <c r="P26" s="155"/>
      <c r="Q26" s="155"/>
    </row>
    <row r="27" spans="1:28" s="437" customFormat="1" x14ac:dyDescent="0.25">
      <c r="A27" s="443" t="s">
        <v>291</v>
      </c>
      <c r="B27" s="469" t="s">
        <v>73</v>
      </c>
      <c r="C27" s="441">
        <f t="shared" si="0"/>
        <v>5520.8144827621845</v>
      </c>
      <c r="D27" s="444">
        <f t="shared" ref="D27:O27" si="11">D13+D19+D22+D25</f>
        <v>125.36782465212497</v>
      </c>
      <c r="E27" s="444">
        <f t="shared" si="11"/>
        <v>162.98265541644594</v>
      </c>
      <c r="F27" s="444">
        <f t="shared" si="11"/>
        <v>194.54132974091732</v>
      </c>
      <c r="G27" s="444">
        <f t="shared" si="11"/>
        <v>293.59285995865366</v>
      </c>
      <c r="H27" s="444">
        <f t="shared" si="11"/>
        <v>490.50702977486242</v>
      </c>
      <c r="I27" s="444">
        <f t="shared" si="11"/>
        <v>712.14491300607392</v>
      </c>
      <c r="J27" s="444">
        <f t="shared" si="11"/>
        <v>835.76634729612863</v>
      </c>
      <c r="K27" s="444">
        <f t="shared" si="11"/>
        <v>862.77364903441526</v>
      </c>
      <c r="L27" s="444">
        <f t="shared" si="11"/>
        <v>886.50907896018805</v>
      </c>
      <c r="M27" s="444">
        <f t="shared" si="11"/>
        <v>956.6287949223746</v>
      </c>
      <c r="N27" s="444">
        <f t="shared" si="11"/>
        <v>0</v>
      </c>
      <c r="O27" s="444">
        <f t="shared" si="11"/>
        <v>0</v>
      </c>
      <c r="P27" s="439"/>
      <c r="Q27" s="439"/>
    </row>
    <row r="28" spans="1:28" s="14" customFormat="1" ht="12.75" x14ac:dyDescent="0.2">
      <c r="A28" s="457" t="s">
        <v>387</v>
      </c>
      <c r="B28" s="29"/>
      <c r="C28" s="458">
        <f t="shared" ref="C28:M28" si="12">C27/C13</f>
        <v>0.15710549660567549</v>
      </c>
      <c r="D28" s="458">
        <f t="shared" si="12"/>
        <v>6.709872624196328E-2</v>
      </c>
      <c r="E28" s="458">
        <f t="shared" si="12"/>
        <v>8.2129605096392777E-2</v>
      </c>
      <c r="F28" s="458">
        <f t="shared" si="12"/>
        <v>8.87727084656105E-2</v>
      </c>
      <c r="G28" s="458">
        <f t="shared" si="12"/>
        <v>0.1120087283086405</v>
      </c>
      <c r="H28" s="458">
        <f t="shared" si="12"/>
        <v>0.14964776283781867</v>
      </c>
      <c r="I28" s="458">
        <f t="shared" si="12"/>
        <v>0.17484826661497507</v>
      </c>
      <c r="J28" s="458">
        <f t="shared" si="12"/>
        <v>0.18324058891376674</v>
      </c>
      <c r="K28" s="458">
        <f t="shared" si="12"/>
        <v>0.1833879839660629</v>
      </c>
      <c r="L28" s="458">
        <f t="shared" si="12"/>
        <v>0.18267520252856007</v>
      </c>
      <c r="M28" s="458">
        <f t="shared" si="12"/>
        <v>0.19109407445424539</v>
      </c>
      <c r="N28" s="458"/>
      <c r="O28" s="458"/>
      <c r="P28" s="459"/>
      <c r="Q28" s="459"/>
    </row>
    <row r="29" spans="1:28" x14ac:dyDescent="0.25">
      <c r="B29" s="386"/>
      <c r="C29" s="191"/>
      <c r="D29" s="192"/>
      <c r="E29" s="192"/>
      <c r="F29" s="192"/>
      <c r="G29" s="192"/>
      <c r="H29" s="192"/>
      <c r="I29" s="192"/>
      <c r="J29" s="192"/>
      <c r="K29" s="192"/>
      <c r="L29" s="192"/>
      <c r="M29" s="192"/>
      <c r="N29" s="192"/>
      <c r="O29" s="192"/>
      <c r="P29" s="155"/>
      <c r="Q29" s="155"/>
    </row>
    <row r="30" spans="1:28" s="437" customFormat="1" x14ac:dyDescent="0.25">
      <c r="A30" s="455" t="str">
        <f t="shared" ref="A30:B30" si="13">A115</f>
        <v>Income Tax on accounting profit</v>
      </c>
      <c r="B30" s="469" t="str">
        <f t="shared" si="13"/>
        <v>US$ 000  Nominal</v>
      </c>
      <c r="C30" s="441">
        <f t="shared" si="0"/>
        <v>1380.2036206905461</v>
      </c>
      <c r="D30" s="442">
        <f>D115</f>
        <v>31.341956163031242</v>
      </c>
      <c r="E30" s="442">
        <f t="shared" ref="E30:O30" si="14">E115</f>
        <v>40.745663854111484</v>
      </c>
      <c r="F30" s="442">
        <f t="shared" si="14"/>
        <v>48.63533243522933</v>
      </c>
      <c r="G30" s="442">
        <f t="shared" si="14"/>
        <v>73.398214989663416</v>
      </c>
      <c r="H30" s="442">
        <f t="shared" si="14"/>
        <v>122.6267574437156</v>
      </c>
      <c r="I30" s="442">
        <f t="shared" si="14"/>
        <v>178.03622825151848</v>
      </c>
      <c r="J30" s="442">
        <f t="shared" si="14"/>
        <v>208.94158682403216</v>
      </c>
      <c r="K30" s="442">
        <f t="shared" si="14"/>
        <v>215.69341225860381</v>
      </c>
      <c r="L30" s="442">
        <f t="shared" si="14"/>
        <v>221.62726974004701</v>
      </c>
      <c r="M30" s="442">
        <f t="shared" si="14"/>
        <v>239.15719873059365</v>
      </c>
      <c r="N30" s="442">
        <f t="shared" si="14"/>
        <v>0</v>
      </c>
      <c r="O30" s="442">
        <f t="shared" si="14"/>
        <v>0</v>
      </c>
      <c r="P30" s="439"/>
      <c r="Q30" s="439"/>
    </row>
    <row r="31" spans="1:28" x14ac:dyDescent="0.25">
      <c r="B31" s="386"/>
      <c r="C31" s="191"/>
      <c r="D31" s="192"/>
      <c r="E31" s="192"/>
      <c r="F31" s="192"/>
      <c r="G31" s="192"/>
      <c r="H31" s="192"/>
      <c r="I31" s="192"/>
      <c r="J31" s="192"/>
      <c r="K31" s="192"/>
      <c r="L31" s="192"/>
      <c r="M31" s="192"/>
      <c r="N31" s="192"/>
      <c r="O31" s="192"/>
      <c r="P31" s="155"/>
      <c r="Q31" s="155"/>
    </row>
    <row r="32" spans="1:28" s="437" customFormat="1" x14ac:dyDescent="0.25">
      <c r="A32" s="443" t="s">
        <v>292</v>
      </c>
      <c r="B32" s="469" t="s">
        <v>73</v>
      </c>
      <c r="C32" s="441">
        <f t="shared" si="0"/>
        <v>4140.6108620716386</v>
      </c>
      <c r="D32" s="460">
        <f t="shared" ref="D32:O32" si="15">D27-D30</f>
        <v>94.025868489093725</v>
      </c>
      <c r="E32" s="460">
        <f t="shared" si="15"/>
        <v>122.23699156233445</v>
      </c>
      <c r="F32" s="460">
        <f t="shared" si="15"/>
        <v>145.905997305688</v>
      </c>
      <c r="G32" s="460">
        <f t="shared" si="15"/>
        <v>220.19464496899025</v>
      </c>
      <c r="H32" s="460">
        <f t="shared" si="15"/>
        <v>367.88027233114678</v>
      </c>
      <c r="I32" s="460">
        <f t="shared" si="15"/>
        <v>534.1086847545555</v>
      </c>
      <c r="J32" s="460">
        <f t="shared" si="15"/>
        <v>626.8247604720965</v>
      </c>
      <c r="K32" s="460">
        <f t="shared" si="15"/>
        <v>647.0802367758115</v>
      </c>
      <c r="L32" s="460">
        <f t="shared" si="15"/>
        <v>664.88180922014101</v>
      </c>
      <c r="M32" s="460">
        <f t="shared" si="15"/>
        <v>717.47159619178092</v>
      </c>
      <c r="N32" s="460">
        <f t="shared" si="15"/>
        <v>0</v>
      </c>
      <c r="O32" s="460">
        <f t="shared" si="15"/>
        <v>0</v>
      </c>
      <c r="P32" s="439"/>
      <c r="Q32" s="439"/>
    </row>
    <row r="33" spans="1:17" x14ac:dyDescent="0.25">
      <c r="B33" s="3"/>
      <c r="C33" s="3"/>
      <c r="D33" s="3"/>
      <c r="E33" s="3"/>
      <c r="F33" s="3"/>
      <c r="G33" s="3"/>
      <c r="H33" s="3"/>
      <c r="I33" s="3"/>
      <c r="J33" s="3"/>
      <c r="K33" s="3"/>
      <c r="L33" s="3"/>
      <c r="M33" s="3"/>
      <c r="N33" s="3"/>
      <c r="O33" s="3"/>
      <c r="P33" s="3"/>
      <c r="Q33" s="3"/>
    </row>
    <row r="34" spans="1:17" ht="31.5" x14ac:dyDescent="0.5">
      <c r="A34" s="487" t="s">
        <v>95</v>
      </c>
      <c r="C34" s="399"/>
      <c r="D34" s="391"/>
      <c r="E34" s="391"/>
      <c r="F34" s="391"/>
      <c r="G34" s="391"/>
      <c r="H34" s="391"/>
      <c r="I34" s="391"/>
      <c r="J34" s="391"/>
      <c r="K34" s="391"/>
      <c r="L34" s="391"/>
      <c r="M34" s="391"/>
      <c r="N34" s="391"/>
      <c r="O34" s="391"/>
    </row>
    <row r="35" spans="1:17" x14ac:dyDescent="0.25">
      <c r="A35" s="482" t="s">
        <v>312</v>
      </c>
      <c r="C35" s="191"/>
      <c r="D35" s="192"/>
      <c r="E35" s="192"/>
      <c r="F35" s="192"/>
      <c r="G35" s="192"/>
      <c r="H35" s="192"/>
      <c r="I35" s="192"/>
      <c r="J35" s="192"/>
      <c r="K35" s="192"/>
      <c r="L35" s="192"/>
      <c r="M35" s="192"/>
      <c r="N35" s="192"/>
      <c r="O35" s="192"/>
      <c r="P35" s="190"/>
      <c r="Q35" s="190"/>
    </row>
    <row r="36" spans="1:17" x14ac:dyDescent="0.25">
      <c r="A36" s="437" t="s">
        <v>412</v>
      </c>
      <c r="B36" s="472" t="str">
        <f>IF(B120&gt;0,B120,0)</f>
        <v>US$ 000 Nominal</v>
      </c>
      <c r="C36" s="191"/>
      <c r="D36" s="442">
        <f>IF(D120&gt;0,D120,0)</f>
        <v>0</v>
      </c>
      <c r="E36" s="442">
        <f t="shared" ref="E36:O36" si="16">IF(E120&gt;0,E120,0)</f>
        <v>0</v>
      </c>
      <c r="F36" s="442">
        <f t="shared" si="16"/>
        <v>0</v>
      </c>
      <c r="G36" s="442">
        <f t="shared" si="16"/>
        <v>0</v>
      </c>
      <c r="H36" s="442">
        <f t="shared" si="16"/>
        <v>201.1136164657411</v>
      </c>
      <c r="I36" s="442">
        <f t="shared" si="16"/>
        <v>713.16264196129646</v>
      </c>
      <c r="J36" s="442">
        <f t="shared" si="16"/>
        <v>1348.9360312580877</v>
      </c>
      <c r="K36" s="442">
        <f t="shared" si="16"/>
        <v>2029.6500303629725</v>
      </c>
      <c r="L36" s="442">
        <f t="shared" si="16"/>
        <v>2738.1882494017468</v>
      </c>
      <c r="M36" s="442">
        <f t="shared" si="16"/>
        <v>3854.8438938260506</v>
      </c>
      <c r="N36" s="442">
        <f t="shared" si="16"/>
        <v>4040.7651997087091</v>
      </c>
      <c r="O36" s="442">
        <f t="shared" si="16"/>
        <v>4121.5805037028831</v>
      </c>
      <c r="P36" s="190"/>
      <c r="Q36" s="190"/>
    </row>
    <row r="37" spans="1:17" s="437" customFormat="1" x14ac:dyDescent="0.25">
      <c r="A37" s="437" t="str">
        <f>A18</f>
        <v>Working stocks of ABC's - closing</v>
      </c>
      <c r="B37" s="473" t="str">
        <f>B18</f>
        <v>US$ 000 Nominal</v>
      </c>
      <c r="C37" s="441"/>
      <c r="D37" s="442">
        <f t="shared" ref="D37:O37" si="17">D18</f>
        <v>80.519340741462045</v>
      </c>
      <c r="E37" s="442">
        <f t="shared" si="17"/>
        <v>85.299765700319696</v>
      </c>
      <c r="F37" s="442">
        <f t="shared" si="17"/>
        <v>93.79221037344351</v>
      </c>
      <c r="G37" s="442">
        <f t="shared" si="17"/>
        <v>110.59952995570718</v>
      </c>
      <c r="H37" s="442">
        <f t="shared" si="17"/>
        <v>134.70569990044478</v>
      </c>
      <c r="I37" s="442">
        <f t="shared" si="17"/>
        <v>164.65128501207047</v>
      </c>
      <c r="J37" s="442">
        <f t="shared" si="17"/>
        <v>183.268448209387</v>
      </c>
      <c r="K37" s="442">
        <f t="shared" si="17"/>
        <v>188.6909950550064</v>
      </c>
      <c r="L37" s="442">
        <f t="shared" si="17"/>
        <v>194.27398421669389</v>
      </c>
      <c r="M37" s="442">
        <f t="shared" si="17"/>
        <v>0</v>
      </c>
      <c r="N37" s="442">
        <f t="shared" si="17"/>
        <v>0</v>
      </c>
      <c r="O37" s="442">
        <f t="shared" si="17"/>
        <v>0</v>
      </c>
      <c r="P37" s="440"/>
      <c r="Q37" s="440"/>
    </row>
    <row r="38" spans="1:17" s="437" customFormat="1" x14ac:dyDescent="0.25">
      <c r="A38" s="443" t="s">
        <v>312</v>
      </c>
      <c r="B38" s="473" t="s">
        <v>73</v>
      </c>
      <c r="C38" s="441"/>
      <c r="D38" s="465">
        <f>SUM(D36:D37)</f>
        <v>80.519340741462045</v>
      </c>
      <c r="E38" s="465">
        <f t="shared" ref="E38:O38" si="18">SUM(E36:E37)</f>
        <v>85.299765700319696</v>
      </c>
      <c r="F38" s="465">
        <f t="shared" si="18"/>
        <v>93.79221037344351</v>
      </c>
      <c r="G38" s="465">
        <f t="shared" si="18"/>
        <v>110.59952995570718</v>
      </c>
      <c r="H38" s="465">
        <f t="shared" si="18"/>
        <v>335.81931636618589</v>
      </c>
      <c r="I38" s="465">
        <f t="shared" si="18"/>
        <v>877.81392697336696</v>
      </c>
      <c r="J38" s="465">
        <f t="shared" si="18"/>
        <v>1532.2044794674748</v>
      </c>
      <c r="K38" s="465">
        <f t="shared" si="18"/>
        <v>2218.3410254179789</v>
      </c>
      <c r="L38" s="465">
        <f t="shared" si="18"/>
        <v>2932.4622336184407</v>
      </c>
      <c r="M38" s="465">
        <f t="shared" si="18"/>
        <v>3854.8438938260506</v>
      </c>
      <c r="N38" s="465">
        <f t="shared" si="18"/>
        <v>4040.7651997087091</v>
      </c>
      <c r="O38" s="465">
        <f t="shared" si="18"/>
        <v>4121.5805037028831</v>
      </c>
      <c r="P38" s="440"/>
      <c r="Q38" s="440"/>
    </row>
    <row r="39" spans="1:17" ht="7.5" customHeight="1" x14ac:dyDescent="0.25">
      <c r="A39" s="157"/>
      <c r="C39" s="191"/>
      <c r="D39" s="193"/>
      <c r="E39" s="193"/>
      <c r="F39" s="193"/>
      <c r="G39" s="193"/>
      <c r="H39" s="193"/>
      <c r="I39" s="193"/>
      <c r="J39" s="193"/>
      <c r="K39" s="193"/>
      <c r="L39" s="193"/>
      <c r="M39" s="193"/>
      <c r="N39" s="193"/>
      <c r="O39" s="193"/>
      <c r="P39" s="190"/>
      <c r="Q39" s="190"/>
    </row>
    <row r="40" spans="1:17" x14ac:dyDescent="0.25">
      <c r="A40" s="482" t="s">
        <v>309</v>
      </c>
      <c r="C40" s="191"/>
      <c r="D40" s="192"/>
      <c r="E40" s="192"/>
      <c r="F40" s="192"/>
      <c r="G40" s="192"/>
      <c r="H40" s="192"/>
      <c r="I40" s="192"/>
      <c r="J40" s="192"/>
      <c r="K40" s="192"/>
      <c r="L40" s="192"/>
      <c r="M40" s="192"/>
      <c r="N40" s="192"/>
      <c r="O40" s="192"/>
      <c r="P40" s="190"/>
      <c r="Q40" s="190"/>
    </row>
    <row r="41" spans="1:17" s="437" customFormat="1" x14ac:dyDescent="0.25">
      <c r="A41" s="437" t="str">
        <f>A93</f>
        <v>Plant &amp; Equipment - closing balance</v>
      </c>
      <c r="B41" s="473" t="str">
        <f>B93</f>
        <v>US$ 000  Nominal</v>
      </c>
      <c r="C41" s="442"/>
      <c r="D41" s="442">
        <f t="shared" ref="D41:O41" si="19">D93</f>
        <v>327.35760263051782</v>
      </c>
      <c r="E41" s="442">
        <f t="shared" si="19"/>
        <v>636.00905653929181</v>
      </c>
      <c r="F41" s="442">
        <f t="shared" si="19"/>
        <v>848.13678304386735</v>
      </c>
      <c r="G41" s="442">
        <f t="shared" si="19"/>
        <v>920.13899421170618</v>
      </c>
      <c r="H41" s="442">
        <f t="shared" si="19"/>
        <v>997.90138227297211</v>
      </c>
      <c r="I41" s="442">
        <f t="shared" si="19"/>
        <v>1081.8847613791393</v>
      </c>
      <c r="J41" s="442">
        <f t="shared" si="19"/>
        <v>1172.5868108138</v>
      </c>
      <c r="K41" s="442">
        <f t="shared" si="19"/>
        <v>1270.5450242032334</v>
      </c>
      <c r="L41" s="442">
        <f t="shared" si="19"/>
        <v>1376.3398946638215</v>
      </c>
      <c r="M41" s="442">
        <f t="shared" si="19"/>
        <v>1490.5983547612566</v>
      </c>
      <c r="N41" s="442">
        <f t="shared" si="19"/>
        <v>1490.5983547612566</v>
      </c>
      <c r="O41" s="442">
        <f t="shared" si="19"/>
        <v>1490.5983547612566</v>
      </c>
      <c r="P41" s="440"/>
      <c r="Q41" s="440"/>
    </row>
    <row r="42" spans="1:17" s="437" customFormat="1" x14ac:dyDescent="0.25">
      <c r="A42" s="437" t="str">
        <f>A106</f>
        <v>accumulated depreciation</v>
      </c>
      <c r="B42" s="473" t="str">
        <f>B106</f>
        <v>US$ 000  Nominal</v>
      </c>
      <c r="C42" s="442"/>
      <c r="D42" s="442">
        <f t="shared" ref="D42:O42" si="20">D106</f>
        <v>78.731130988888538</v>
      </c>
      <c r="E42" s="442">
        <f t="shared" si="20"/>
        <v>157.18373203324091</v>
      </c>
      <c r="F42" s="442">
        <f t="shared" si="20"/>
        <v>238.59680858870092</v>
      </c>
      <c r="G42" s="442">
        <f t="shared" si="20"/>
        <v>329.76272997435058</v>
      </c>
      <c r="H42" s="442">
        <f t="shared" si="20"/>
        <v>436.25359489735354</v>
      </c>
      <c r="I42" s="442">
        <f t="shared" si="20"/>
        <v>561.03280131348311</v>
      </c>
      <c r="J42" s="442">
        <f t="shared" si="20"/>
        <v>693.21212162685185</v>
      </c>
      <c r="K42" s="442">
        <f t="shared" si="20"/>
        <v>821.65051778040822</v>
      </c>
      <c r="L42" s="442">
        <f t="shared" si="20"/>
        <v>946.45386498622247</v>
      </c>
      <c r="M42" s="442">
        <f t="shared" si="20"/>
        <v>1067.7250419880986</v>
      </c>
      <c r="N42" s="442">
        <f t="shared" si="20"/>
        <v>1067.7250419880986</v>
      </c>
      <c r="O42" s="442">
        <f t="shared" si="20"/>
        <v>1067.7250419880986</v>
      </c>
      <c r="P42" s="440"/>
      <c r="Q42" s="440"/>
    </row>
    <row r="43" spans="1:17" s="437" customFormat="1" x14ac:dyDescent="0.25">
      <c r="A43" s="443" t="s">
        <v>411</v>
      </c>
      <c r="B43" s="473" t="str">
        <f>B107</f>
        <v>US$ 000  Nominal</v>
      </c>
      <c r="C43" s="441"/>
      <c r="D43" s="465">
        <f>D41-D42</f>
        <v>248.62647164162928</v>
      </c>
      <c r="E43" s="465">
        <f t="shared" ref="E43:O43" si="21">E41-E42</f>
        <v>478.82532450605089</v>
      </c>
      <c r="F43" s="465">
        <f t="shared" si="21"/>
        <v>609.53997445516643</v>
      </c>
      <c r="G43" s="465">
        <f t="shared" si="21"/>
        <v>590.3762642373556</v>
      </c>
      <c r="H43" s="465">
        <f t="shared" si="21"/>
        <v>561.64778737561858</v>
      </c>
      <c r="I43" s="465">
        <f t="shared" si="21"/>
        <v>520.85196006565616</v>
      </c>
      <c r="J43" s="465">
        <f t="shared" si="21"/>
        <v>479.3746891869481</v>
      </c>
      <c r="K43" s="465">
        <f t="shared" si="21"/>
        <v>448.8945064228252</v>
      </c>
      <c r="L43" s="465">
        <f t="shared" si="21"/>
        <v>429.88602967759903</v>
      </c>
      <c r="M43" s="465">
        <f t="shared" si="21"/>
        <v>422.87331277315798</v>
      </c>
      <c r="N43" s="465">
        <f t="shared" si="21"/>
        <v>422.87331277315798</v>
      </c>
      <c r="O43" s="465">
        <f t="shared" si="21"/>
        <v>422.87331277315798</v>
      </c>
      <c r="P43" s="440"/>
      <c r="Q43" s="440"/>
    </row>
    <row r="44" spans="1:17" s="437" customFormat="1" ht="7.5" customHeight="1" x14ac:dyDescent="0.25">
      <c r="B44" s="473"/>
      <c r="C44" s="448"/>
      <c r="D44" s="439"/>
      <c r="E44" s="439"/>
      <c r="F44" s="439"/>
      <c r="G44" s="439"/>
      <c r="H44" s="439"/>
      <c r="I44" s="439"/>
      <c r="J44" s="439"/>
      <c r="K44" s="439"/>
      <c r="L44" s="439"/>
      <c r="M44" s="439"/>
      <c r="N44" s="439"/>
      <c r="O44" s="439"/>
      <c r="P44" s="440"/>
      <c r="Q44" s="440"/>
    </row>
    <row r="45" spans="1:17" s="437" customFormat="1" x14ac:dyDescent="0.25">
      <c r="A45" s="443" t="s">
        <v>310</v>
      </c>
      <c r="B45" s="473" t="s">
        <v>73</v>
      </c>
      <c r="C45" s="441"/>
      <c r="D45" s="460">
        <f>D38+D43</f>
        <v>329.14581238309131</v>
      </c>
      <c r="E45" s="460">
        <f t="shared" ref="E45:O45" si="22">E38+E43</f>
        <v>564.1250902063706</v>
      </c>
      <c r="F45" s="460">
        <f t="shared" si="22"/>
        <v>703.33218482860991</v>
      </c>
      <c r="G45" s="460">
        <f t="shared" si="22"/>
        <v>700.97579419306282</v>
      </c>
      <c r="H45" s="460">
        <f t="shared" si="22"/>
        <v>897.46710374180452</v>
      </c>
      <c r="I45" s="460">
        <f t="shared" si="22"/>
        <v>1398.6658870390231</v>
      </c>
      <c r="J45" s="460">
        <f t="shared" si="22"/>
        <v>2011.579168654423</v>
      </c>
      <c r="K45" s="460">
        <f t="shared" si="22"/>
        <v>2667.235531840804</v>
      </c>
      <c r="L45" s="460">
        <f t="shared" si="22"/>
        <v>3362.3482632960395</v>
      </c>
      <c r="M45" s="460">
        <f t="shared" si="22"/>
        <v>4277.717206599209</v>
      </c>
      <c r="N45" s="460">
        <f t="shared" si="22"/>
        <v>4463.6385124818671</v>
      </c>
      <c r="O45" s="460">
        <f t="shared" si="22"/>
        <v>4544.4538164760415</v>
      </c>
      <c r="P45" s="440"/>
      <c r="Q45" s="440"/>
    </row>
    <row r="46" spans="1:17" ht="32.25" customHeight="1" x14ac:dyDescent="0.25">
      <c r="C46" s="191"/>
      <c r="D46" s="192"/>
      <c r="E46" s="192"/>
      <c r="F46" s="192"/>
      <c r="G46" s="192"/>
      <c r="H46" s="192"/>
      <c r="I46" s="192"/>
      <c r="J46" s="192"/>
      <c r="K46" s="192"/>
      <c r="L46" s="192"/>
      <c r="M46" s="192"/>
      <c r="N46" s="192"/>
      <c r="O46" s="192"/>
      <c r="P46" s="190"/>
      <c r="Q46" s="190"/>
    </row>
    <row r="47" spans="1:17" x14ac:dyDescent="0.25">
      <c r="A47" s="407" t="s">
        <v>311</v>
      </c>
      <c r="C47" s="191"/>
      <c r="D47" s="192"/>
      <c r="E47" s="192"/>
      <c r="F47" s="192"/>
      <c r="G47" s="192"/>
      <c r="H47" s="192"/>
      <c r="I47" s="192"/>
      <c r="J47" s="192"/>
      <c r="K47" s="192"/>
      <c r="L47" s="192"/>
      <c r="M47" s="192"/>
      <c r="N47" s="192"/>
      <c r="O47" s="192"/>
      <c r="P47" s="190"/>
      <c r="Q47" s="190"/>
    </row>
    <row r="48" spans="1:17" s="437" customFormat="1" x14ac:dyDescent="0.25">
      <c r="A48" s="440" t="str">
        <f>A126</f>
        <v>Total creditors - at end of year</v>
      </c>
      <c r="B48" s="473" t="str">
        <f t="shared" ref="B48:O48" si="23">B126</f>
        <v>US$ 000 Nominal</v>
      </c>
      <c r="C48" s="448"/>
      <c r="D48" s="439">
        <f t="shared" si="23"/>
        <v>142.97893612023162</v>
      </c>
      <c r="E48" s="439">
        <f t="shared" si="23"/>
        <v>143.21467534253512</v>
      </c>
      <c r="F48" s="439">
        <f t="shared" si="23"/>
        <v>157.68726418587443</v>
      </c>
      <c r="G48" s="439">
        <f t="shared" si="23"/>
        <v>184.73719705890005</v>
      </c>
      <c r="H48" s="439">
        <f t="shared" si="23"/>
        <v>221.84937862222822</v>
      </c>
      <c r="I48" s="439">
        <f t="shared" si="23"/>
        <v>267.95786685175813</v>
      </c>
      <c r="J48" s="439">
        <f t="shared" si="23"/>
        <v>296.36630468498674</v>
      </c>
      <c r="K48" s="439">
        <f t="shared" si="23"/>
        <v>305.16275839924333</v>
      </c>
      <c r="L48" s="439">
        <f t="shared" si="23"/>
        <v>315.70211741093169</v>
      </c>
      <c r="M48" s="439">
        <f t="shared" si="23"/>
        <v>306.37905037970125</v>
      </c>
      <c r="N48" s="439">
        <f t="shared" si="23"/>
        <v>0</v>
      </c>
      <c r="O48" s="439">
        <f t="shared" si="23"/>
        <v>0</v>
      </c>
      <c r="P48" s="440"/>
      <c r="Q48" s="440"/>
    </row>
    <row r="49" spans="1:17" s="437" customFormat="1" x14ac:dyDescent="0.25">
      <c r="A49" s="440" t="str">
        <f>A130</f>
        <v>Project loan - current portion</v>
      </c>
      <c r="B49" s="473" t="str">
        <f>B130</f>
        <v>US$ 000  Nominal</v>
      </c>
      <c r="C49" s="448"/>
      <c r="D49" s="439">
        <f t="shared" ref="D49:M49" si="24">D130</f>
        <v>0</v>
      </c>
      <c r="E49" s="439">
        <f t="shared" si="24"/>
        <v>147.77487609228041</v>
      </c>
      <c r="F49" s="439">
        <f t="shared" si="24"/>
        <v>44.301866725818797</v>
      </c>
      <c r="G49" s="439">
        <f t="shared" si="24"/>
        <v>0</v>
      </c>
      <c r="H49" s="439">
        <f t="shared" si="24"/>
        <v>0</v>
      </c>
      <c r="I49" s="439">
        <f t="shared" si="24"/>
        <v>0</v>
      </c>
      <c r="J49" s="439">
        <f t="shared" si="24"/>
        <v>0</v>
      </c>
      <c r="K49" s="439">
        <f t="shared" si="24"/>
        <v>0</v>
      </c>
      <c r="L49" s="439">
        <f t="shared" si="24"/>
        <v>0</v>
      </c>
      <c r="M49" s="439">
        <f t="shared" si="24"/>
        <v>0</v>
      </c>
      <c r="N49" s="439">
        <f t="shared" ref="N49:O49" si="25">N130</f>
        <v>0</v>
      </c>
      <c r="O49" s="439">
        <f t="shared" si="25"/>
        <v>0</v>
      </c>
      <c r="P49" s="440"/>
      <c r="Q49" s="440"/>
    </row>
    <row r="50" spans="1:17" s="437" customFormat="1" x14ac:dyDescent="0.25">
      <c r="A50" s="443" t="s">
        <v>311</v>
      </c>
      <c r="B50" s="473" t="s">
        <v>73</v>
      </c>
      <c r="C50" s="441"/>
      <c r="D50" s="465">
        <f>SUM(D48:D49)</f>
        <v>142.97893612023162</v>
      </c>
      <c r="E50" s="465">
        <f t="shared" ref="E50:O50" si="26">SUM(E48:E49)</f>
        <v>290.98955143481555</v>
      </c>
      <c r="F50" s="465">
        <f t="shared" si="26"/>
        <v>201.98913091169322</v>
      </c>
      <c r="G50" s="465">
        <f t="shared" si="26"/>
        <v>184.73719705890005</v>
      </c>
      <c r="H50" s="465">
        <f t="shared" si="26"/>
        <v>221.84937862222822</v>
      </c>
      <c r="I50" s="465">
        <f t="shared" si="26"/>
        <v>267.95786685175813</v>
      </c>
      <c r="J50" s="465">
        <f t="shared" si="26"/>
        <v>296.36630468498674</v>
      </c>
      <c r="K50" s="465">
        <f t="shared" si="26"/>
        <v>305.16275839924333</v>
      </c>
      <c r="L50" s="465">
        <f t="shared" si="26"/>
        <v>315.70211741093169</v>
      </c>
      <c r="M50" s="465">
        <f t="shared" si="26"/>
        <v>306.37905037970125</v>
      </c>
      <c r="N50" s="465">
        <f t="shared" si="26"/>
        <v>0</v>
      </c>
      <c r="O50" s="465">
        <f t="shared" si="26"/>
        <v>0</v>
      </c>
      <c r="P50" s="440"/>
      <c r="Q50" s="440"/>
    </row>
    <row r="51" spans="1:17" x14ac:dyDescent="0.25">
      <c r="A51" s="194"/>
      <c r="C51" s="156"/>
      <c r="D51" s="155"/>
      <c r="E51" s="155"/>
      <c r="F51" s="155"/>
      <c r="G51" s="155"/>
      <c r="H51" s="155"/>
      <c r="I51" s="155"/>
      <c r="J51" s="155"/>
      <c r="K51" s="155"/>
      <c r="L51" s="155"/>
      <c r="M51" s="155"/>
      <c r="N51" s="155"/>
      <c r="O51" s="155"/>
      <c r="P51" s="190"/>
      <c r="Q51" s="190"/>
    </row>
    <row r="52" spans="1:17" s="437" customFormat="1" x14ac:dyDescent="0.25">
      <c r="A52" s="482" t="s">
        <v>315</v>
      </c>
      <c r="B52" s="473"/>
      <c r="C52" s="441"/>
      <c r="D52" s="442"/>
      <c r="E52" s="442"/>
      <c r="F52" s="442"/>
      <c r="G52" s="442"/>
      <c r="H52" s="442"/>
      <c r="I52" s="442"/>
      <c r="J52" s="442"/>
      <c r="K52" s="442"/>
      <c r="L52" s="442"/>
      <c r="M52" s="442"/>
      <c r="N52" s="442"/>
      <c r="O52" s="442"/>
      <c r="P52" s="440"/>
      <c r="Q52" s="440"/>
    </row>
    <row r="53" spans="1:17" s="437" customFormat="1" x14ac:dyDescent="0.25">
      <c r="A53" s="440" t="str">
        <f>A131</f>
        <v>Project loan - non-current portion</v>
      </c>
      <c r="B53" s="473" t="str">
        <f>B131</f>
        <v>US$ 000  Nominal</v>
      </c>
      <c r="C53" s="448"/>
      <c r="D53" s="439">
        <f t="shared" ref="D53:O53" si="27">D131</f>
        <v>153.16470523598767</v>
      </c>
      <c r="E53" s="439">
        <f t="shared" si="27"/>
        <v>44.301866725818797</v>
      </c>
      <c r="F53" s="439">
        <f t="shared" si="27"/>
        <v>0</v>
      </c>
      <c r="G53" s="439">
        <f t="shared" si="27"/>
        <v>0</v>
      </c>
      <c r="H53" s="439">
        <f t="shared" si="27"/>
        <v>0</v>
      </c>
      <c r="I53" s="439">
        <f t="shared" si="27"/>
        <v>0</v>
      </c>
      <c r="J53" s="439">
        <f t="shared" si="27"/>
        <v>0</v>
      </c>
      <c r="K53" s="439">
        <f t="shared" si="27"/>
        <v>0</v>
      </c>
      <c r="L53" s="439">
        <f t="shared" si="27"/>
        <v>0</v>
      </c>
      <c r="M53" s="439">
        <f t="shared" si="27"/>
        <v>0</v>
      </c>
      <c r="N53" s="439">
        <f t="shared" si="27"/>
        <v>0</v>
      </c>
      <c r="O53" s="439">
        <f t="shared" si="27"/>
        <v>0</v>
      </c>
      <c r="P53" s="440"/>
      <c r="Q53" s="440"/>
    </row>
    <row r="54" spans="1:17" s="437" customFormat="1" x14ac:dyDescent="0.25">
      <c r="A54" s="443" t="s">
        <v>315</v>
      </c>
      <c r="B54" s="473" t="s">
        <v>73</v>
      </c>
      <c r="C54" s="441"/>
      <c r="D54" s="465">
        <f t="shared" ref="D54:O54" si="28">SUM(D53:D53)</f>
        <v>153.16470523598767</v>
      </c>
      <c r="E54" s="465">
        <f t="shared" si="28"/>
        <v>44.301866725818797</v>
      </c>
      <c r="F54" s="465">
        <f t="shared" si="28"/>
        <v>0</v>
      </c>
      <c r="G54" s="465">
        <f t="shared" si="28"/>
        <v>0</v>
      </c>
      <c r="H54" s="465">
        <f t="shared" si="28"/>
        <v>0</v>
      </c>
      <c r="I54" s="465">
        <f t="shared" si="28"/>
        <v>0</v>
      </c>
      <c r="J54" s="465">
        <f t="shared" si="28"/>
        <v>0</v>
      </c>
      <c r="K54" s="465">
        <f t="shared" si="28"/>
        <v>0</v>
      </c>
      <c r="L54" s="465">
        <f t="shared" si="28"/>
        <v>0</v>
      </c>
      <c r="M54" s="465">
        <f t="shared" si="28"/>
        <v>0</v>
      </c>
      <c r="N54" s="465">
        <f t="shared" si="28"/>
        <v>0</v>
      </c>
      <c r="O54" s="465">
        <f t="shared" si="28"/>
        <v>0</v>
      </c>
      <c r="P54" s="440"/>
      <c r="Q54" s="440"/>
    </row>
    <row r="55" spans="1:17" x14ac:dyDescent="0.25">
      <c r="A55" s="194"/>
      <c r="C55" s="156"/>
      <c r="D55" s="155"/>
      <c r="E55" s="155"/>
      <c r="F55" s="155"/>
      <c r="G55" s="155"/>
      <c r="H55" s="155"/>
      <c r="I55" s="155"/>
      <c r="J55" s="155"/>
      <c r="K55" s="155"/>
      <c r="L55" s="155"/>
      <c r="M55" s="155"/>
      <c r="N55" s="155"/>
      <c r="O55" s="155"/>
      <c r="P55" s="190"/>
      <c r="Q55" s="190"/>
    </row>
    <row r="56" spans="1:17" s="437" customFormat="1" x14ac:dyDescent="0.25">
      <c r="A56" s="443" t="s">
        <v>316</v>
      </c>
      <c r="B56" s="473" t="s">
        <v>73</v>
      </c>
      <c r="C56" s="441"/>
      <c r="D56" s="460">
        <f>D50+D54</f>
        <v>296.14364135621929</v>
      </c>
      <c r="E56" s="460">
        <f t="shared" ref="E56:O56" si="29">E50+E54</f>
        <v>335.29141816063435</v>
      </c>
      <c r="F56" s="460">
        <f t="shared" si="29"/>
        <v>201.98913091169322</v>
      </c>
      <c r="G56" s="460">
        <f t="shared" si="29"/>
        <v>184.73719705890005</v>
      </c>
      <c r="H56" s="460">
        <f t="shared" si="29"/>
        <v>221.84937862222822</v>
      </c>
      <c r="I56" s="460">
        <f t="shared" si="29"/>
        <v>267.95786685175813</v>
      </c>
      <c r="J56" s="460">
        <f t="shared" si="29"/>
        <v>296.36630468498674</v>
      </c>
      <c r="K56" s="460">
        <f t="shared" si="29"/>
        <v>305.16275839924333</v>
      </c>
      <c r="L56" s="460">
        <f t="shared" si="29"/>
        <v>315.70211741093169</v>
      </c>
      <c r="M56" s="460">
        <f t="shared" si="29"/>
        <v>306.37905037970125</v>
      </c>
      <c r="N56" s="460">
        <f t="shared" si="29"/>
        <v>0</v>
      </c>
      <c r="O56" s="460">
        <f t="shared" si="29"/>
        <v>0</v>
      </c>
      <c r="P56" s="440"/>
      <c r="Q56" s="440"/>
    </row>
    <row r="57" spans="1:17" s="437" customFormat="1" ht="37.5" customHeight="1" x14ac:dyDescent="0.25">
      <c r="A57" s="482" t="s">
        <v>317</v>
      </c>
      <c r="B57" s="473"/>
      <c r="C57" s="441"/>
      <c r="D57" s="442"/>
      <c r="E57" s="442"/>
      <c r="F57" s="442"/>
      <c r="G57" s="442"/>
      <c r="H57" s="442"/>
      <c r="I57" s="442"/>
      <c r="J57" s="442"/>
      <c r="K57" s="442"/>
      <c r="L57" s="442"/>
      <c r="M57" s="442"/>
      <c r="N57" s="442"/>
      <c r="O57" s="442"/>
      <c r="P57" s="440"/>
      <c r="Q57" s="440"/>
    </row>
    <row r="58" spans="1:17" s="437" customFormat="1" x14ac:dyDescent="0.25">
      <c r="A58" s="443" t="s">
        <v>300</v>
      </c>
      <c r="B58" s="469"/>
      <c r="C58" s="441"/>
      <c r="D58" s="460">
        <f t="shared" ref="D58:O58" si="30">D45-D56</f>
        <v>33.00217102687202</v>
      </c>
      <c r="E58" s="460">
        <f t="shared" si="30"/>
        <v>228.83367204573625</v>
      </c>
      <c r="F58" s="460">
        <f t="shared" si="30"/>
        <v>501.34305391691669</v>
      </c>
      <c r="G58" s="460">
        <f t="shared" si="30"/>
        <v>516.23859713416277</v>
      </c>
      <c r="H58" s="460">
        <f t="shared" si="30"/>
        <v>675.61772511957633</v>
      </c>
      <c r="I58" s="460">
        <f t="shared" si="30"/>
        <v>1130.708020187265</v>
      </c>
      <c r="J58" s="460">
        <f t="shared" si="30"/>
        <v>1715.2128639694363</v>
      </c>
      <c r="K58" s="460">
        <f t="shared" si="30"/>
        <v>2362.0727734415605</v>
      </c>
      <c r="L58" s="460">
        <f t="shared" si="30"/>
        <v>3046.6461458851077</v>
      </c>
      <c r="M58" s="460">
        <f t="shared" si="30"/>
        <v>3971.3381562195077</v>
      </c>
      <c r="N58" s="460">
        <f t="shared" si="30"/>
        <v>4463.6385124818671</v>
      </c>
      <c r="O58" s="460">
        <f t="shared" si="30"/>
        <v>4544.4538164760415</v>
      </c>
      <c r="P58" s="439"/>
      <c r="Q58" s="439"/>
    </row>
    <row r="59" spans="1:17" x14ac:dyDescent="0.25">
      <c r="C59" s="191"/>
      <c r="D59" s="192"/>
      <c r="E59" s="192"/>
      <c r="F59" s="192"/>
      <c r="G59" s="192"/>
      <c r="H59" s="192"/>
      <c r="I59" s="192"/>
      <c r="J59" s="192"/>
      <c r="K59" s="192"/>
      <c r="L59" s="192"/>
      <c r="M59" s="192"/>
      <c r="N59" s="192"/>
      <c r="O59" s="192"/>
      <c r="P59" s="190"/>
      <c r="Q59" s="190"/>
    </row>
    <row r="60" spans="1:17" ht="75.75" customHeight="1" x14ac:dyDescent="0.25">
      <c r="C60" s="191"/>
      <c r="D60" s="192"/>
      <c r="E60" s="192"/>
      <c r="F60" s="192"/>
      <c r="G60" s="192"/>
      <c r="H60" s="192"/>
      <c r="I60" s="192"/>
      <c r="J60" s="192"/>
      <c r="K60" s="192"/>
      <c r="L60" s="192"/>
      <c r="M60" s="192"/>
      <c r="N60" s="192"/>
      <c r="O60" s="192"/>
      <c r="P60" s="190"/>
      <c r="Q60" s="190"/>
    </row>
    <row r="61" spans="1:17" ht="31.5" x14ac:dyDescent="0.5">
      <c r="A61" s="167" t="s">
        <v>96</v>
      </c>
      <c r="C61" s="156"/>
      <c r="D61" s="155"/>
      <c r="E61" s="155"/>
      <c r="F61" s="155"/>
      <c r="G61" s="155"/>
      <c r="H61" s="155"/>
      <c r="I61" s="155"/>
      <c r="J61" s="155"/>
      <c r="K61" s="155"/>
      <c r="L61" s="155"/>
      <c r="M61" s="155"/>
      <c r="N61" s="155"/>
      <c r="O61" s="155"/>
      <c r="P61" s="190"/>
      <c r="Q61" s="190"/>
    </row>
    <row r="62" spans="1:17" ht="31.5" x14ac:dyDescent="0.5">
      <c r="A62" s="167"/>
      <c r="C62" s="156"/>
      <c r="D62" s="155"/>
      <c r="E62" s="155"/>
      <c r="F62" s="155"/>
      <c r="G62" s="155"/>
      <c r="H62" s="155"/>
      <c r="I62" s="155"/>
      <c r="J62" s="155"/>
      <c r="K62" s="155"/>
      <c r="L62" s="155"/>
      <c r="M62" s="155"/>
      <c r="N62" s="155"/>
      <c r="O62" s="155"/>
      <c r="P62" s="190"/>
      <c r="Q62" s="190"/>
    </row>
    <row r="63" spans="1:17" x14ac:dyDescent="0.25">
      <c r="A63" s="351" t="s">
        <v>388</v>
      </c>
      <c r="B63" s="475"/>
      <c r="C63" s="401"/>
      <c r="D63" s="155"/>
      <c r="E63" s="155"/>
      <c r="F63" s="155"/>
      <c r="G63" s="155"/>
      <c r="H63" s="155"/>
      <c r="I63" s="155"/>
      <c r="J63" s="155"/>
      <c r="K63" s="155"/>
      <c r="L63" s="155"/>
      <c r="M63" s="155"/>
      <c r="N63" s="155"/>
      <c r="O63" s="155"/>
      <c r="P63" s="190"/>
      <c r="Q63" s="190"/>
    </row>
    <row r="64" spans="1:17" x14ac:dyDescent="0.25">
      <c r="A64" s="273" t="str">
        <f>'Project funding (Nominal)'!A$36</f>
        <v>Inflator - US$</v>
      </c>
      <c r="B64" s="476"/>
      <c r="C64" s="435"/>
      <c r="D64" s="436">
        <f>'Project funding (Nominal)'!D$36</f>
        <v>1.0099504938362078</v>
      </c>
      <c r="E64" s="436">
        <f>'Project funding (Nominal)'!E$36</f>
        <v>1.030149503712932</v>
      </c>
      <c r="F64" s="436">
        <f>'Project funding (Nominal)'!F$36</f>
        <v>1.0507524937871906</v>
      </c>
      <c r="G64" s="436">
        <f>'Project funding (Nominal)'!G$36</f>
        <v>1.0717675436629344</v>
      </c>
      <c r="H64" s="436">
        <f>'Project funding (Nominal)'!H$36</f>
        <v>1.0932028945361931</v>
      </c>
      <c r="I64" s="436">
        <f>'Project funding (Nominal)'!I$36</f>
        <v>1.115066952426917</v>
      </c>
      <c r="J64" s="436">
        <f>'Project funding (Nominal)'!J$36</f>
        <v>1.1373682914754553</v>
      </c>
      <c r="K64" s="436">
        <f>'Project funding (Nominal)'!K$36</f>
        <v>1.1601156573049645</v>
      </c>
      <c r="L64" s="436">
        <f>'Project funding (Nominal)'!L$36</f>
        <v>1.1833179704510637</v>
      </c>
      <c r="M64" s="436">
        <f>'Project funding (Nominal)'!M$36</f>
        <v>1.2069843298600851</v>
      </c>
      <c r="N64" s="436">
        <f>'Project funding (Nominal)'!N$36</f>
        <v>1.2311240164572868</v>
      </c>
      <c r="O64" s="436">
        <f>'Project funding (Nominal)'!O$36</f>
        <v>1.2557464967864325</v>
      </c>
      <c r="P64" s="190"/>
      <c r="Q64" s="190"/>
    </row>
    <row r="65" spans="1:17" x14ac:dyDescent="0.25">
      <c r="A65" s="273" t="str">
        <f>'Capital &amp; Operating Costs'!A$50</f>
        <v>Inflator - In country</v>
      </c>
      <c r="B65" s="476"/>
      <c r="C65" s="435"/>
      <c r="D65" s="436">
        <f>'Capital &amp; Operating Costs'!D$50</f>
        <v>1.0392304845413265</v>
      </c>
      <c r="E65" s="436">
        <f>'Capital &amp; Operating Costs'!E$50</f>
        <v>1.1223689233046328</v>
      </c>
      <c r="F65" s="436">
        <f>'Capital &amp; Operating Costs'!F$50</f>
        <v>1.2121584371690035</v>
      </c>
      <c r="G65" s="436">
        <f>'Capital &amp; Operating Costs'!G$50</f>
        <v>1.309131112142524</v>
      </c>
      <c r="H65" s="436">
        <f>'Capital &amp; Operating Costs'!H$50</f>
        <v>1.413861601113926</v>
      </c>
      <c r="I65" s="436">
        <f>'Capital &amp; Operating Costs'!I$50</f>
        <v>1.5269705292030402</v>
      </c>
      <c r="J65" s="436">
        <f>'Capital &amp; Operating Costs'!J$50</f>
        <v>1.6491281715392836</v>
      </c>
      <c r="K65" s="436">
        <f>'Capital &amp; Operating Costs'!K$50</f>
        <v>1.7810584252624264</v>
      </c>
      <c r="L65" s="436">
        <f>'Capital &amp; Operating Costs'!L$50</f>
        <v>1.9235430992834206</v>
      </c>
      <c r="M65" s="436">
        <f>'Capital &amp; Operating Costs'!M$50</f>
        <v>2.0774265472260942</v>
      </c>
      <c r="N65" s="436">
        <f>'Capital &amp; Operating Costs'!N$50</f>
        <v>2.2436206710041819</v>
      </c>
      <c r="O65" s="436">
        <f>'Capital &amp; Operating Costs'!O$50</f>
        <v>2.4231103246845165</v>
      </c>
      <c r="P65" s="190"/>
      <c r="Q65" s="190"/>
    </row>
    <row r="66" spans="1:17" x14ac:dyDescent="0.25">
      <c r="C66" s="156"/>
      <c r="D66" s="155"/>
      <c r="E66" s="155"/>
      <c r="F66" s="155"/>
      <c r="G66" s="155"/>
      <c r="H66" s="155"/>
      <c r="I66" s="155"/>
      <c r="J66" s="155"/>
      <c r="K66" s="155"/>
      <c r="L66" s="155"/>
      <c r="M66" s="155"/>
      <c r="N66" s="155"/>
      <c r="O66" s="155"/>
      <c r="P66" s="190"/>
      <c r="Q66" s="190"/>
    </row>
    <row r="67" spans="1:17" x14ac:dyDescent="0.25">
      <c r="A67" s="351" t="s">
        <v>395</v>
      </c>
      <c r="B67" s="475"/>
      <c r="C67" s="401"/>
      <c r="D67" s="155"/>
      <c r="E67" s="155"/>
      <c r="F67" s="155"/>
      <c r="G67" s="155"/>
      <c r="H67" s="155"/>
      <c r="I67" s="155"/>
      <c r="J67" s="155"/>
      <c r="K67" s="155"/>
      <c r="L67" s="155"/>
      <c r="M67" s="155"/>
      <c r="N67" s="155"/>
      <c r="O67" s="155"/>
      <c r="P67" s="190"/>
      <c r="Q67" s="190"/>
    </row>
    <row r="68" spans="1:17" x14ac:dyDescent="0.25">
      <c r="A68" s="273" t="str">
        <f>Taxes!A40</f>
        <v>Revenue from ABC units</v>
      </c>
      <c r="B68" s="477" t="str">
        <f>Taxes!B40</f>
        <v>US$ 000  Real</v>
      </c>
      <c r="C68" s="403">
        <f>Taxes!C40</f>
        <v>28767.418847075358</v>
      </c>
      <c r="D68" s="393">
        <f>Taxes!D40</f>
        <v>1770</v>
      </c>
      <c r="E68" s="393">
        <f>Taxes!E40</f>
        <v>1835.54</v>
      </c>
      <c r="F68" s="393">
        <f>Taxes!F40</f>
        <v>1978.7121200000001</v>
      </c>
      <c r="G68" s="393">
        <f>Taxes!G40</f>
        <v>2293.9390258400003</v>
      </c>
      <c r="H68" s="393">
        <f>Taxes!H40</f>
        <v>2759.2283782817608</v>
      </c>
      <c r="I68" s="393">
        <f>Taxes!I40</f>
        <v>3330.2531115073416</v>
      </c>
      <c r="J68" s="393">
        <f>Taxes!J40</f>
        <v>3648.1741866301709</v>
      </c>
      <c r="K68" s="393">
        <f>Taxes!K40</f>
        <v>3682.4670239844936</v>
      </c>
      <c r="L68" s="393">
        <f>Taxes!L40</f>
        <v>3717.0822140099485</v>
      </c>
      <c r="M68" s="393">
        <f>Taxes!M40</f>
        <v>3752.0227868216416</v>
      </c>
      <c r="N68" s="393">
        <f>Taxes!N40</f>
        <v>0</v>
      </c>
      <c r="O68" s="393">
        <f>Taxes!O40</f>
        <v>0</v>
      </c>
      <c r="P68" s="190"/>
      <c r="Q68" s="190"/>
    </row>
    <row r="69" spans="1:17" s="437" customFormat="1" ht="19.5" customHeight="1" x14ac:dyDescent="0.25">
      <c r="A69" s="455" t="str">
        <f>A68</f>
        <v>Revenue from ABC units</v>
      </c>
      <c r="B69" s="473" t="s">
        <v>74</v>
      </c>
      <c r="C69" s="438">
        <f>SUM(D69:O69)</f>
        <v>32294.578905571849</v>
      </c>
      <c r="D69" s="439">
        <f>D68*D$64</f>
        <v>1787.6123740900878</v>
      </c>
      <c r="E69" s="439">
        <f t="shared" ref="E69:O69" si="31">E68*E$64</f>
        <v>1890.8806200452352</v>
      </c>
      <c r="F69" s="439">
        <f t="shared" si="31"/>
        <v>2079.1366945769387</v>
      </c>
      <c r="G69" s="439">
        <f t="shared" si="31"/>
        <v>2458.5693950370819</v>
      </c>
      <c r="H69" s="439">
        <f t="shared" si="31"/>
        <v>3016.3964498240271</v>
      </c>
      <c r="I69" s="439">
        <f t="shared" si="31"/>
        <v>3713.455187858749</v>
      </c>
      <c r="J69" s="439">
        <f t="shared" si="31"/>
        <v>4149.3176416524166</v>
      </c>
      <c r="K69" s="439">
        <f t="shared" si="31"/>
        <v>4272.0876520336269</v>
      </c>
      <c r="L69" s="439">
        <f t="shared" si="31"/>
        <v>4398.4901814819987</v>
      </c>
      <c r="M69" s="439">
        <f t="shared" si="31"/>
        <v>4528.6327089716879</v>
      </c>
      <c r="N69" s="439">
        <f t="shared" si="31"/>
        <v>0</v>
      </c>
      <c r="O69" s="439">
        <f t="shared" si="31"/>
        <v>0</v>
      </c>
      <c r="P69" s="440"/>
      <c r="Q69" s="440"/>
    </row>
    <row r="70" spans="1:17" x14ac:dyDescent="0.25">
      <c r="A70" s="378" t="str">
        <f>'Sales&amp;Revenue'!A91</f>
        <v xml:space="preserve">Cash Grants from Results Based Financing </v>
      </c>
      <c r="B70" s="478" t="str">
        <f>'Sales&amp;Revenue'!B91</f>
        <v>US$ 000  Real</v>
      </c>
      <c r="C70" s="387">
        <f>SUM(D70:O70)</f>
        <v>1471.1305073333051</v>
      </c>
      <c r="D70" s="388">
        <f>'Sales&amp;Revenue'!D91</f>
        <v>80</v>
      </c>
      <c r="E70" s="388">
        <f>'Sales&amp;Revenue'!E91</f>
        <v>84.5</v>
      </c>
      <c r="F70" s="388">
        <f>'Sales&amp;Revenue'!F91</f>
        <v>92.95</v>
      </c>
      <c r="G70" s="388">
        <f>'Sales&amp;Revenue'!G91</f>
        <v>110.33</v>
      </c>
      <c r="H70" s="388">
        <f>'Sales&amp;Revenue'!H91</f>
        <v>136.60900000000004</v>
      </c>
      <c r="I70" s="388">
        <f>'Sales&amp;Revenue'!I91</f>
        <v>169.67390000000003</v>
      </c>
      <c r="J70" s="388">
        <f>'Sales&amp;Revenue'!J91</f>
        <v>190.52071500000002</v>
      </c>
      <c r="K70" s="388">
        <f>'Sales&amp;Revenue'!K91</f>
        <v>196.23633645000004</v>
      </c>
      <c r="L70" s="388">
        <f>'Sales&amp;Revenue'!L91</f>
        <v>202.12342654350005</v>
      </c>
      <c r="M70" s="388">
        <f>'Sales&amp;Revenue'!M91</f>
        <v>208.18712933980501</v>
      </c>
      <c r="N70" s="388">
        <f>'Sales&amp;Revenue'!N91</f>
        <v>0</v>
      </c>
      <c r="O70" s="388">
        <f>'Sales&amp;Revenue'!O91</f>
        <v>0</v>
      </c>
      <c r="P70" s="155"/>
      <c r="Q70" s="155"/>
    </row>
    <row r="71" spans="1:17" s="437" customFormat="1" ht="19.5" customHeight="1" x14ac:dyDescent="0.25">
      <c r="A71" s="437" t="str">
        <f>A70</f>
        <v xml:space="preserve">Cash Grants from Results Based Financing </v>
      </c>
      <c r="B71" s="473" t="s">
        <v>74</v>
      </c>
      <c r="C71" s="438">
        <f>SUM(D71:O71)</f>
        <v>1657.1022949873852</v>
      </c>
      <c r="D71" s="439">
        <f>D70*D$64</f>
        <v>80.796039506896619</v>
      </c>
      <c r="E71" s="439">
        <f t="shared" ref="E71" si="32">E70*E$64</f>
        <v>87.047633063742751</v>
      </c>
      <c r="F71" s="439">
        <f t="shared" ref="F71" si="33">F70*F$64</f>
        <v>97.667444297519367</v>
      </c>
      <c r="G71" s="439">
        <f t="shared" ref="G71" si="34">G70*G$64</f>
        <v>118.24811309233155</v>
      </c>
      <c r="H71" s="439">
        <f t="shared" ref="H71" si="35">H70*H$64</f>
        <v>149.34135421969484</v>
      </c>
      <c r="I71" s="439">
        <f t="shared" ref="I71" si="36">I70*I$64</f>
        <v>189.1977585793895</v>
      </c>
      <c r="J71" s="439">
        <f t="shared" ref="J71" si="37">J70*J$64</f>
        <v>216.69222011023217</v>
      </c>
      <c r="K71" s="439">
        <f t="shared" ref="K71" si="38">K70*K$64</f>
        <v>227.65684644780995</v>
      </c>
      <c r="L71" s="439">
        <f t="shared" ref="L71" si="39">L70*L$64</f>
        <v>239.17628287806912</v>
      </c>
      <c r="M71" s="439">
        <f t="shared" ref="M71" si="40">M70*M$64</f>
        <v>251.2786027916994</v>
      </c>
      <c r="N71" s="439">
        <f t="shared" ref="N71" si="41">N70*N$64</f>
        <v>0</v>
      </c>
      <c r="O71" s="439">
        <f t="shared" ref="O71" si="42">O70*O$64</f>
        <v>0</v>
      </c>
      <c r="P71" s="440"/>
      <c r="Q71" s="440"/>
    </row>
    <row r="72" spans="1:17" x14ac:dyDescent="0.25">
      <c r="A72" s="378" t="str">
        <f>'Sales&amp;Revenue'!A102</f>
        <v>Commissions from international sales of ABC's</v>
      </c>
      <c r="B72" s="479" t="str">
        <f>'Sales&amp;Revenue'!B102</f>
        <v>US$ 000  Real</v>
      </c>
      <c r="C72" s="387">
        <f>SUM(D72:O72)</f>
        <v>1034.1778565999748</v>
      </c>
      <c r="D72" s="388">
        <f>'Sales&amp;Revenue'!D102</f>
        <v>0</v>
      </c>
      <c r="E72" s="388">
        <f>'Sales&amp;Revenue'!E102</f>
        <v>6.3375000000000004</v>
      </c>
      <c r="F72" s="388">
        <f>'Sales&amp;Revenue'!F102</f>
        <v>13.942500000000001</v>
      </c>
      <c r="G72" s="388">
        <f>'Sales&amp;Revenue'!G102</f>
        <v>41.373750000000001</v>
      </c>
      <c r="H72" s="388">
        <f>'Sales&amp;Revenue'!H102</f>
        <v>102.45675000000003</v>
      </c>
      <c r="I72" s="388">
        <f>'Sales&amp;Revenue'!I102</f>
        <v>152.70651000000001</v>
      </c>
      <c r="J72" s="388">
        <f>'Sales&amp;Revenue'!J102</f>
        <v>171.46864350000004</v>
      </c>
      <c r="K72" s="388">
        <f>'Sales&amp;Revenue'!K102</f>
        <v>176.612702805</v>
      </c>
      <c r="L72" s="388">
        <f>'Sales&amp;Revenue'!L102</f>
        <v>181.91108388915004</v>
      </c>
      <c r="M72" s="388">
        <f>'Sales&amp;Revenue'!M102</f>
        <v>187.36841640582452</v>
      </c>
      <c r="N72" s="388">
        <f>'Sales&amp;Revenue'!N102</f>
        <v>0</v>
      </c>
      <c r="O72" s="388">
        <f>'Sales&amp;Revenue'!O102</f>
        <v>0</v>
      </c>
      <c r="P72" s="155"/>
      <c r="Q72" s="155"/>
    </row>
    <row r="73" spans="1:17" s="437" customFormat="1" ht="19.5" customHeight="1" x14ac:dyDescent="0.25">
      <c r="A73" s="437" t="str">
        <f>A72</f>
        <v>Commissions from international sales of ABC's</v>
      </c>
      <c r="B73" s="473" t="s">
        <v>74</v>
      </c>
      <c r="C73" s="438">
        <f>SUM(D73:O73)</f>
        <v>1189.1292869252841</v>
      </c>
      <c r="D73" s="439">
        <f>D72*D$64</f>
        <v>0</v>
      </c>
      <c r="E73" s="439">
        <f t="shared" ref="E73" si="43">E72*E$64</f>
        <v>6.5285724797807072</v>
      </c>
      <c r="F73" s="439">
        <f t="shared" ref="F73" si="44">F72*F$64</f>
        <v>14.650116644627905</v>
      </c>
      <c r="G73" s="439">
        <f t="shared" ref="G73" si="45">G72*G$64</f>
        <v>44.343042409624331</v>
      </c>
      <c r="H73" s="439">
        <f t="shared" ref="H73" si="46">H72*H$64</f>
        <v>112.00601566477114</v>
      </c>
      <c r="I73" s="439">
        <f t="shared" ref="I73" si="47">I72*I$64</f>
        <v>170.27798272145054</v>
      </c>
      <c r="J73" s="439">
        <f t="shared" ref="J73" si="48">J72*J$64</f>
        <v>195.02299809920896</v>
      </c>
      <c r="K73" s="439">
        <f t="shared" ref="K73" si="49">K72*K$64</f>
        <v>204.89116180302892</v>
      </c>
      <c r="L73" s="439">
        <f t="shared" ref="L73" si="50">L72*L$64</f>
        <v>215.25865459026221</v>
      </c>
      <c r="M73" s="439">
        <f t="shared" ref="M73" si="51">M72*M$64</f>
        <v>226.15074251252949</v>
      </c>
      <c r="N73" s="439">
        <f t="shared" ref="N73" si="52">N72*N$64</f>
        <v>0</v>
      </c>
      <c r="O73" s="439">
        <f t="shared" ref="O73" si="53">O72*O$64</f>
        <v>0</v>
      </c>
      <c r="P73" s="440"/>
      <c r="Q73" s="440"/>
    </row>
    <row r="74" spans="1:17" s="437" customFormat="1" ht="19.5" customHeight="1" x14ac:dyDescent="0.25">
      <c r="B74" s="473"/>
      <c r="C74" s="438"/>
      <c r="D74" s="439"/>
      <c r="E74" s="439"/>
      <c r="F74" s="439"/>
      <c r="G74" s="439"/>
      <c r="H74" s="439"/>
      <c r="I74" s="439"/>
      <c r="J74" s="439"/>
      <c r="K74" s="439"/>
      <c r="L74" s="439"/>
      <c r="M74" s="439"/>
      <c r="N74" s="439"/>
      <c r="O74" s="439"/>
      <c r="P74" s="440"/>
      <c r="Q74" s="440"/>
    </row>
    <row r="75" spans="1:17" ht="15.75" x14ac:dyDescent="0.25">
      <c r="A75" s="38" t="s">
        <v>396</v>
      </c>
      <c r="C75" s="401"/>
      <c r="D75" s="155"/>
      <c r="E75" s="155"/>
      <c r="F75" s="155"/>
      <c r="G75" s="155"/>
      <c r="H75" s="155"/>
      <c r="I75" s="155"/>
      <c r="J75" s="155"/>
      <c r="K75" s="155"/>
      <c r="L75" s="155"/>
      <c r="M75" s="155"/>
      <c r="N75" s="155"/>
      <c r="O75" s="155"/>
      <c r="P75" s="190"/>
      <c r="Q75" s="190"/>
    </row>
    <row r="76" spans="1:17" x14ac:dyDescent="0.25">
      <c r="A76" s="273" t="str">
        <f>'Capital &amp; Operating Costs'!A167</f>
        <v>3a i.  Cost of purchasing ABC units ex-factory</v>
      </c>
      <c r="B76" s="477" t="str">
        <f>'Capital &amp; Operating Costs'!B167</f>
        <v>US$ 000 Real</v>
      </c>
      <c r="C76" s="403">
        <f>'Capital &amp; Operating Costs'!C167</f>
        <v>15590.092959201191</v>
      </c>
      <c r="D76" s="394">
        <f>'Capital &amp; Operating Costs'!D167</f>
        <v>1049.7260273972602</v>
      </c>
      <c r="E76" s="394">
        <f>'Capital &amp; Operating Costs'!E167</f>
        <v>1012.1117808219178</v>
      </c>
      <c r="F76" s="394">
        <f>'Capital &amp; Operating Costs'!F167</f>
        <v>1094.1350421917809</v>
      </c>
      <c r="G76" s="394">
        <f>'Capital &amp; Operating Costs'!G167</f>
        <v>1271.2387671967124</v>
      </c>
      <c r="H76" s="394">
        <f>'Capital &amp; Operating Costs'!H167</f>
        <v>1521.2818835894557</v>
      </c>
      <c r="I76" s="394">
        <f>'Capital &amp; Operating Costs'!I167</f>
        <v>1823.4391790972199</v>
      </c>
      <c r="J76" s="394">
        <f>'Capital &amp; Operating Costs'!J167</f>
        <v>1976.8874870560949</v>
      </c>
      <c r="K76" s="394">
        <f>'Capital &amp; Operating Costs'!K167</f>
        <v>1983.6266147866311</v>
      </c>
      <c r="L76" s="394">
        <f>'Capital &amp; Operating Costs'!L167</f>
        <v>2002.2727049656251</v>
      </c>
      <c r="M76" s="394">
        <f>'Capital &amp; Operating Costs'!M167</f>
        <v>1855.3734720984926</v>
      </c>
      <c r="N76" s="394">
        <f>'Capital &amp; Operating Costs'!N167</f>
        <v>0</v>
      </c>
      <c r="O76" s="394">
        <f>'Capital &amp; Operating Costs'!O167</f>
        <v>0</v>
      </c>
      <c r="P76" s="190"/>
      <c r="Q76" s="190"/>
    </row>
    <row r="77" spans="1:17" s="437" customFormat="1" ht="19.5" customHeight="1" x14ac:dyDescent="0.25">
      <c r="A77" s="437" t="s">
        <v>397</v>
      </c>
      <c r="B77" s="473" t="s">
        <v>74</v>
      </c>
      <c r="C77" s="438">
        <f>SUM(D77:O77)</f>
        <v>17469.679288489497</v>
      </c>
      <c r="D77" s="439">
        <f>D76*D$64</f>
        <v>1060.1713197625836</v>
      </c>
      <c r="E77" s="439">
        <f t="shared" ref="E77" si="54">E76*E$64</f>
        <v>1042.6264487157105</v>
      </c>
      <c r="F77" s="439">
        <f t="shared" ref="F77" si="55">F76*F$64</f>
        <v>1149.6651241229667</v>
      </c>
      <c r="G77" s="439">
        <f t="shared" ref="G77" si="56">G76*G$64</f>
        <v>1362.4724509275172</v>
      </c>
      <c r="H77" s="439">
        <f t="shared" ref="H77" si="57">H76*H$64</f>
        <v>1663.069758545465</v>
      </c>
      <c r="I77" s="439">
        <f t="shared" ref="I77" si="58">I76*I$64</f>
        <v>2033.2567683717764</v>
      </c>
      <c r="J77" s="439">
        <f t="shared" ref="J77" si="59">J76*J$64</f>
        <v>2248.4491435921968</v>
      </c>
      <c r="K77" s="439">
        <f t="shared" ref="K77" si="60">K76*K$64</f>
        <v>2301.2362940608141</v>
      </c>
      <c r="L77" s="439">
        <f t="shared" ref="L77" si="61">L76*L$64</f>
        <v>2369.325273529485</v>
      </c>
      <c r="M77" s="439">
        <f t="shared" ref="M77" si="62">M76*M$64</f>
        <v>2239.4067068609784</v>
      </c>
      <c r="N77" s="439">
        <f t="shared" ref="N77" si="63">N76*N$64</f>
        <v>0</v>
      </c>
      <c r="O77" s="439">
        <f t="shared" ref="O77" si="64">O76*O$64</f>
        <v>0</v>
      </c>
      <c r="P77" s="440"/>
      <c r="Q77" s="440"/>
    </row>
    <row r="78" spans="1:17" x14ac:dyDescent="0.25">
      <c r="C78" s="401"/>
      <c r="D78" s="155"/>
      <c r="E78" s="155"/>
      <c r="F78" s="155"/>
      <c r="G78" s="155"/>
      <c r="H78" s="155"/>
      <c r="I78" s="155"/>
      <c r="J78" s="155"/>
      <c r="K78" s="155"/>
      <c r="L78" s="155"/>
      <c r="M78" s="155"/>
      <c r="N78" s="155"/>
      <c r="O78" s="155"/>
      <c r="P78" s="190"/>
      <c r="Q78" s="190"/>
    </row>
    <row r="79" spans="1:17" ht="15.75" x14ac:dyDescent="0.25">
      <c r="A79" s="38" t="s">
        <v>398</v>
      </c>
      <c r="C79" s="156"/>
      <c r="D79" s="155"/>
      <c r="E79" s="155"/>
      <c r="F79" s="155"/>
      <c r="G79" s="155"/>
      <c r="H79" s="155"/>
      <c r="I79" s="155"/>
      <c r="J79" s="155"/>
      <c r="K79" s="155"/>
      <c r="L79" s="155"/>
      <c r="M79" s="155"/>
      <c r="N79" s="155"/>
      <c r="O79" s="155"/>
      <c r="P79" s="190"/>
      <c r="Q79" s="190"/>
    </row>
    <row r="80" spans="1:17" x14ac:dyDescent="0.25">
      <c r="A80" s="273" t="str">
        <f>'Capital &amp; Operating Costs'!A90</f>
        <v>Working stocks of ABC's - closing</v>
      </c>
      <c r="B80" s="477" t="str">
        <f>'Capital &amp; Operating Costs'!B90</f>
        <v>US$ 000 Real</v>
      </c>
      <c r="C80" s="396"/>
      <c r="D80" s="395">
        <f>'Capital &amp; Operating Costs'!D90</f>
        <v>79.726027397260268</v>
      </c>
      <c r="E80" s="395">
        <f>'Capital &amp; Operating Costs'!E90</f>
        <v>82.80328767123288</v>
      </c>
      <c r="F80" s="395">
        <f>'Capital &amp; Operating Costs'!F90</f>
        <v>89.261944109589038</v>
      </c>
      <c r="G80" s="395">
        <f>'Capital &amp; Operating Costs'!G90</f>
        <v>103.19358018410958</v>
      </c>
      <c r="H80" s="395">
        <f>'Capital &amp; Operating Costs'!H90</f>
        <v>123.22113358252275</v>
      </c>
      <c r="I80" s="395">
        <f>'Capital &amp; Operating Costs'!I90</f>
        <v>147.66044734238676</v>
      </c>
      <c r="J80" s="395">
        <f>'Capital &amp; Operating Costs'!J90</f>
        <v>161.13377661657978</v>
      </c>
      <c r="K80" s="395">
        <f>'Capital &amp; Operating Costs'!K90</f>
        <v>162.64843411677566</v>
      </c>
      <c r="L80" s="395">
        <f>'Capital &amp; Operating Costs'!L90</f>
        <v>164.17732939747333</v>
      </c>
      <c r="M80" s="395">
        <f>'Capital &amp; Operating Costs'!M90</f>
        <v>0</v>
      </c>
      <c r="N80" s="395">
        <f>'Capital &amp; Operating Costs'!N90</f>
        <v>0</v>
      </c>
      <c r="O80" s="395">
        <f>'Capital &amp; Operating Costs'!O90</f>
        <v>0</v>
      </c>
      <c r="P80" s="190"/>
      <c r="Q80" s="190"/>
    </row>
    <row r="81" spans="1:17" s="437" customFormat="1" ht="19.5" customHeight="1" x14ac:dyDescent="0.25">
      <c r="A81" s="455" t="str">
        <f>A80</f>
        <v>Working stocks of ABC's - closing</v>
      </c>
      <c r="B81" s="473" t="s">
        <v>74</v>
      </c>
      <c r="C81" s="438"/>
      <c r="D81" s="439">
        <f t="shared" ref="D81:O81" si="65">D80*D$64</f>
        <v>80.519340741462045</v>
      </c>
      <c r="E81" s="439">
        <f t="shared" si="65"/>
        <v>85.299765700319696</v>
      </c>
      <c r="F81" s="439">
        <f t="shared" si="65"/>
        <v>93.79221037344351</v>
      </c>
      <c r="G81" s="439">
        <f t="shared" si="65"/>
        <v>110.59952995570718</v>
      </c>
      <c r="H81" s="439">
        <f t="shared" si="65"/>
        <v>134.70569990044478</v>
      </c>
      <c r="I81" s="439">
        <f t="shared" si="65"/>
        <v>164.65128501207047</v>
      </c>
      <c r="J81" s="439">
        <f t="shared" si="65"/>
        <v>183.268448209387</v>
      </c>
      <c r="K81" s="439">
        <f t="shared" si="65"/>
        <v>188.6909950550064</v>
      </c>
      <c r="L81" s="439">
        <f t="shared" si="65"/>
        <v>194.27398421669389</v>
      </c>
      <c r="M81" s="439">
        <f t="shared" si="65"/>
        <v>0</v>
      </c>
      <c r="N81" s="439">
        <f t="shared" si="65"/>
        <v>0</v>
      </c>
      <c r="O81" s="439">
        <f t="shared" si="65"/>
        <v>0</v>
      </c>
      <c r="P81" s="440"/>
      <c r="Q81" s="440"/>
    </row>
    <row r="82" spans="1:17" x14ac:dyDescent="0.25">
      <c r="C82" s="156"/>
      <c r="D82" s="155"/>
      <c r="E82" s="155"/>
      <c r="F82" s="155"/>
      <c r="G82" s="155"/>
      <c r="H82" s="155"/>
      <c r="I82" s="155"/>
      <c r="J82" s="155"/>
      <c r="K82" s="155"/>
      <c r="L82" s="155"/>
      <c r="M82" s="155"/>
      <c r="N82" s="155"/>
      <c r="O82" s="155"/>
      <c r="P82" s="190"/>
      <c r="Q82" s="190"/>
    </row>
    <row r="83" spans="1:17" ht="15.75" x14ac:dyDescent="0.25">
      <c r="A83" s="38" t="s">
        <v>399</v>
      </c>
      <c r="C83" s="401"/>
      <c r="D83" s="155"/>
      <c r="E83" s="155"/>
      <c r="F83" s="155"/>
      <c r="G83" s="155"/>
      <c r="H83" s="155"/>
      <c r="I83" s="155"/>
      <c r="J83" s="155"/>
      <c r="K83" s="155"/>
      <c r="L83" s="155"/>
      <c r="M83" s="155"/>
      <c r="N83" s="155"/>
      <c r="O83" s="155"/>
      <c r="P83" s="190"/>
      <c r="Q83" s="190"/>
    </row>
    <row r="84" spans="1:17" x14ac:dyDescent="0.25">
      <c r="A84" s="273" t="str">
        <f>'Capital &amp; Operating Costs'!A172</f>
        <v>3c.  Total Operating 'Expenses'</v>
      </c>
      <c r="B84" s="477" t="str">
        <f>'Capital &amp; Operating Costs'!B172</f>
        <v>US$ 000 Real</v>
      </c>
      <c r="C84" s="403">
        <f>'Capital &amp; Operating Costs'!C172</f>
        <v>25434.689030251066</v>
      </c>
      <c r="D84" s="456">
        <f>'Capital &amp; Operating Costs'!D172</f>
        <v>1722.4379479452055</v>
      </c>
      <c r="E84" s="456">
        <f>'Capital &amp; Operating Costs'!E172</f>
        <v>1691.4488726027398</v>
      </c>
      <c r="F84" s="456">
        <f>'Capital &amp; Operating Costs'!F172</f>
        <v>1825.8613634246578</v>
      </c>
      <c r="G84" s="456">
        <f>'Capital &amp; Operating Costs'!G172</f>
        <v>2097.1300267857537</v>
      </c>
      <c r="H84" s="456">
        <f>'Capital &amp; Operating Costs'!H172</f>
        <v>2469.0452736579491</v>
      </c>
      <c r="I84" s="456">
        <f>'Capital &amp; Operating Costs'!I172</f>
        <v>2923.729413378042</v>
      </c>
      <c r="J84" s="456">
        <f>'Capital &amp; Operating Costs'!J172</f>
        <v>3170.2923910920535</v>
      </c>
      <c r="K84" s="456">
        <f>'Capital &amp; Operating Costs'!K172</f>
        <v>3200.3822525327096</v>
      </c>
      <c r="L84" s="456">
        <f>'Capital &amp; Operating Costs'!L172</f>
        <v>3245.9934898440861</v>
      </c>
      <c r="M84" s="456">
        <f>'Capital &amp; Operating Costs'!M172</f>
        <v>3088.3679989878642</v>
      </c>
      <c r="N84" s="456">
        <f>'Capital &amp; Operating Costs'!N172</f>
        <v>0</v>
      </c>
      <c r="O84" s="456">
        <f>'Capital &amp; Operating Costs'!O172</f>
        <v>0</v>
      </c>
      <c r="P84" s="190"/>
      <c r="Q84" s="190"/>
    </row>
    <row r="85" spans="1:17" x14ac:dyDescent="0.25">
      <c r="A85" s="273" t="str">
        <f>'Capital &amp; Operating Costs'!A167</f>
        <v>3a i.  Cost of purchasing ABC units ex-factory</v>
      </c>
      <c r="B85" s="477" t="str">
        <f>'Capital &amp; Operating Costs'!B167</f>
        <v>US$ 000 Real</v>
      </c>
      <c r="C85" s="403">
        <f>'Capital &amp; Operating Costs'!C167</f>
        <v>15590.092959201191</v>
      </c>
      <c r="D85" s="456">
        <f>'Capital &amp; Operating Costs'!D167</f>
        <v>1049.7260273972602</v>
      </c>
      <c r="E85" s="456">
        <f>'Capital &amp; Operating Costs'!E167</f>
        <v>1012.1117808219178</v>
      </c>
      <c r="F85" s="456">
        <f>'Capital &amp; Operating Costs'!F167</f>
        <v>1094.1350421917809</v>
      </c>
      <c r="G85" s="456">
        <f>'Capital &amp; Operating Costs'!G167</f>
        <v>1271.2387671967124</v>
      </c>
      <c r="H85" s="456">
        <f>'Capital &amp; Operating Costs'!H167</f>
        <v>1521.2818835894557</v>
      </c>
      <c r="I85" s="456">
        <f>'Capital &amp; Operating Costs'!I167</f>
        <v>1823.4391790972199</v>
      </c>
      <c r="J85" s="456">
        <f>'Capital &amp; Operating Costs'!J167</f>
        <v>1976.8874870560949</v>
      </c>
      <c r="K85" s="456">
        <f>'Capital &amp; Operating Costs'!K167</f>
        <v>1983.6266147866311</v>
      </c>
      <c r="L85" s="456">
        <f>'Capital &amp; Operating Costs'!L167</f>
        <v>2002.2727049656251</v>
      </c>
      <c r="M85" s="456">
        <f>'Capital &amp; Operating Costs'!M167</f>
        <v>1855.3734720984926</v>
      </c>
      <c r="N85" s="456">
        <f>'Capital &amp; Operating Costs'!N167</f>
        <v>0</v>
      </c>
      <c r="O85" s="456">
        <f>'Capital &amp; Operating Costs'!O167</f>
        <v>0</v>
      </c>
      <c r="P85" s="190"/>
      <c r="Q85" s="190"/>
    </row>
    <row r="86" spans="1:17" x14ac:dyDescent="0.25">
      <c r="A86" s="273" t="str">
        <f>Taxes!A31</f>
        <v>4a.  Withholding Tax ("WHT")</v>
      </c>
      <c r="B86" s="477" t="str">
        <f>Taxes!B31</f>
        <v>US$ 000  Real</v>
      </c>
      <c r="C86" s="403">
        <f>Taxes!C31</f>
        <v>52.000000000000007</v>
      </c>
      <c r="D86" s="456">
        <f>Taxes!D31</f>
        <v>5.2</v>
      </c>
      <c r="E86" s="456">
        <f>Taxes!E31</f>
        <v>5.2</v>
      </c>
      <c r="F86" s="456">
        <f>Taxes!F31</f>
        <v>5.2</v>
      </c>
      <c r="G86" s="456">
        <f>Taxes!G31</f>
        <v>5.2</v>
      </c>
      <c r="H86" s="456">
        <f>Taxes!H31</f>
        <v>5.2</v>
      </c>
      <c r="I86" s="456">
        <f>Taxes!I31</f>
        <v>5.2</v>
      </c>
      <c r="J86" s="456">
        <f>Taxes!J31</f>
        <v>5.2</v>
      </c>
      <c r="K86" s="456">
        <f>Taxes!K31</f>
        <v>5.2</v>
      </c>
      <c r="L86" s="456">
        <f>Taxes!L31</f>
        <v>5.2</v>
      </c>
      <c r="M86" s="456">
        <f>Taxes!M31</f>
        <v>5.2</v>
      </c>
      <c r="N86" s="456">
        <f>Taxes!N31</f>
        <v>0</v>
      </c>
      <c r="O86" s="456">
        <f>Taxes!O31</f>
        <v>0</v>
      </c>
      <c r="P86" s="190"/>
      <c r="Q86" s="190"/>
    </row>
    <row r="87" spans="1:17" x14ac:dyDescent="0.25">
      <c r="A87" s="3" t="s">
        <v>400</v>
      </c>
      <c r="B87" s="467" t="s">
        <v>24</v>
      </c>
      <c r="C87" s="401">
        <f t="shared" ref="C87" si="66">SUM(D87:O87)</f>
        <v>9896.5960710498712</v>
      </c>
      <c r="D87" s="402">
        <f>D84-D85+D86</f>
        <v>677.91192054794533</v>
      </c>
      <c r="E87" s="402">
        <f t="shared" ref="E87:O87" si="67">E84-E85+E86</f>
        <v>684.53709178082204</v>
      </c>
      <c r="F87" s="402">
        <f t="shared" si="67"/>
        <v>736.92632123287694</v>
      </c>
      <c r="G87" s="402">
        <f t="shared" si="67"/>
        <v>831.09125958904133</v>
      </c>
      <c r="H87" s="402">
        <f t="shared" si="67"/>
        <v>952.96339006849348</v>
      </c>
      <c r="I87" s="402">
        <f t="shared" si="67"/>
        <v>1105.4902342808221</v>
      </c>
      <c r="J87" s="402">
        <f t="shared" si="67"/>
        <v>1198.6049040359587</v>
      </c>
      <c r="K87" s="402">
        <f t="shared" si="67"/>
        <v>1221.9556377460785</v>
      </c>
      <c r="L87" s="402">
        <f t="shared" si="67"/>
        <v>1248.9207848784611</v>
      </c>
      <c r="M87" s="402">
        <f t="shared" si="67"/>
        <v>1238.1945268893717</v>
      </c>
      <c r="N87" s="402">
        <f t="shared" si="67"/>
        <v>0</v>
      </c>
      <c r="O87" s="402">
        <f t="shared" si="67"/>
        <v>0</v>
      </c>
      <c r="P87" s="190"/>
      <c r="Q87" s="190"/>
    </row>
    <row r="88" spans="1:17" s="437" customFormat="1" ht="19.5" customHeight="1" x14ac:dyDescent="0.25">
      <c r="A88" s="437" t="str">
        <f>A87</f>
        <v>Expenses (incl WHT)</v>
      </c>
      <c r="B88" s="473" t="s">
        <v>74</v>
      </c>
      <c r="C88" s="438">
        <f>SUM(D88:O88)</f>
        <v>11082.591674244743</v>
      </c>
      <c r="D88" s="439">
        <f>D87*D$64</f>
        <v>684.65747893484945</v>
      </c>
      <c r="E88" s="439">
        <f t="shared" ref="E88" si="68">E87*E$64</f>
        <v>705.17554537110766</v>
      </c>
      <c r="F88" s="439">
        <f t="shared" ref="F88" si="69">F87*F$64</f>
        <v>774.32716977286577</v>
      </c>
      <c r="G88" s="439">
        <f t="shared" ref="G88" si="70">G87*G$64</f>
        <v>890.73663784948099</v>
      </c>
      <c r="H88" s="439">
        <f t="shared" ref="H88" si="71">H87*H$64</f>
        <v>1041.7823364099004</v>
      </c>
      <c r="I88" s="439">
        <f t="shared" ref="I88" si="72">I87*I$64</f>
        <v>1232.6956264772348</v>
      </c>
      <c r="J88" s="439">
        <f t="shared" ref="J88" si="73">J87*J$64</f>
        <v>1363.2552118574804</v>
      </c>
      <c r="K88" s="439">
        <f t="shared" ref="K88" si="74">K87*K$64</f>
        <v>1417.6098678812989</v>
      </c>
      <c r="L88" s="439">
        <f t="shared" ref="L88" si="75">L87*L$64</f>
        <v>1477.8704084165302</v>
      </c>
      <c r="M88" s="439">
        <f t="shared" ref="M88" si="76">M87*M$64</f>
        <v>1494.4813912739933</v>
      </c>
      <c r="N88" s="439">
        <f t="shared" ref="N88" si="77">N87*N$64</f>
        <v>0</v>
      </c>
      <c r="O88" s="439">
        <f t="shared" ref="O88" si="78">O87*O$64</f>
        <v>0</v>
      </c>
      <c r="P88" s="440"/>
      <c r="Q88" s="440"/>
    </row>
    <row r="89" spans="1:17" x14ac:dyDescent="0.25">
      <c r="C89" s="401"/>
      <c r="D89" s="402"/>
      <c r="E89" s="402"/>
      <c r="F89" s="402"/>
      <c r="G89" s="402"/>
      <c r="H89" s="402"/>
      <c r="I89" s="402"/>
      <c r="J89" s="402"/>
      <c r="K89" s="402"/>
      <c r="L89" s="402"/>
      <c r="M89" s="402"/>
      <c r="N89" s="402"/>
      <c r="O89" s="402"/>
      <c r="P89" s="190"/>
      <c r="Q89" s="190"/>
    </row>
    <row r="90" spans="1:17" ht="16.5" thickBot="1" x14ac:dyDescent="0.3">
      <c r="A90" s="38" t="s">
        <v>301</v>
      </c>
      <c r="C90" s="156"/>
      <c r="D90" s="155"/>
      <c r="E90" s="155"/>
      <c r="F90" s="155"/>
      <c r="G90" s="155"/>
      <c r="H90" s="155"/>
      <c r="I90" s="155"/>
      <c r="J90" s="155"/>
      <c r="K90" s="155"/>
      <c r="L90" s="155"/>
      <c r="M90" s="155"/>
      <c r="N90" s="155"/>
      <c r="O90" s="155"/>
      <c r="P90" s="190"/>
      <c r="Q90" s="190"/>
    </row>
    <row r="91" spans="1:17" s="437" customFormat="1" ht="16.5" thickBot="1" x14ac:dyDescent="0.3">
      <c r="A91" s="437" t="s">
        <v>306</v>
      </c>
      <c r="B91" s="473" t="s">
        <v>73</v>
      </c>
      <c r="C91" s="448"/>
      <c r="D91" s="184">
        <v>0</v>
      </c>
      <c r="E91" s="439">
        <f>D93</f>
        <v>327.35760263051782</v>
      </c>
      <c r="F91" s="439">
        <f t="shared" ref="F91:O91" si="79">E93</f>
        <v>636.00905653929181</v>
      </c>
      <c r="G91" s="439">
        <f t="shared" si="79"/>
        <v>848.13678304386735</v>
      </c>
      <c r="H91" s="439">
        <f t="shared" si="79"/>
        <v>920.13899421170618</v>
      </c>
      <c r="I91" s="439">
        <f t="shared" si="79"/>
        <v>997.90138227297211</v>
      </c>
      <c r="J91" s="439">
        <f t="shared" si="79"/>
        <v>1081.8847613791393</v>
      </c>
      <c r="K91" s="439">
        <f t="shared" si="79"/>
        <v>1172.5868108138</v>
      </c>
      <c r="L91" s="439">
        <f t="shared" si="79"/>
        <v>1270.5450242032334</v>
      </c>
      <c r="M91" s="439">
        <f t="shared" si="79"/>
        <v>1376.3398946638215</v>
      </c>
      <c r="N91" s="439">
        <f t="shared" si="79"/>
        <v>1490.5983547612566</v>
      </c>
      <c r="O91" s="439">
        <f t="shared" si="79"/>
        <v>1490.5983547612566</v>
      </c>
      <c r="P91" s="440"/>
      <c r="Q91" s="440"/>
    </row>
    <row r="92" spans="1:17" s="437" customFormat="1" x14ac:dyDescent="0.25">
      <c r="A92" s="449" t="str">
        <f>'Capital &amp; Operating Costs'!A53</f>
        <v>capital costs - added</v>
      </c>
      <c r="B92" s="480" t="str">
        <f>'Capital &amp; Operating Costs'!B53</f>
        <v>Nominal currency units</v>
      </c>
      <c r="C92" s="450">
        <f>'Capital &amp; Operating Costs'!C53</f>
        <v>1490.5983547612566</v>
      </c>
      <c r="D92" s="451">
        <f>'Capital &amp; Operating Costs'!D53</f>
        <v>327.35760263051782</v>
      </c>
      <c r="E92" s="451">
        <f>'Capital &amp; Operating Costs'!E53</f>
        <v>308.65145390877399</v>
      </c>
      <c r="F92" s="451">
        <f>'Capital &amp; Operating Costs'!F53</f>
        <v>212.12772650457561</v>
      </c>
      <c r="G92" s="451">
        <f>'Capital &amp; Operating Costs'!G53</f>
        <v>72.002211167838823</v>
      </c>
      <c r="H92" s="451">
        <f>'Capital &amp; Operating Costs'!H53</f>
        <v>77.762388061265924</v>
      </c>
      <c r="I92" s="451">
        <f>'Capital &amp; Operating Costs'!I53</f>
        <v>83.983379106167206</v>
      </c>
      <c r="J92" s="451">
        <f>'Capital &amp; Operating Costs'!J53</f>
        <v>90.702049434660594</v>
      </c>
      <c r="K92" s="451">
        <f>'Capital &amp; Operating Costs'!K53</f>
        <v>97.958213389433453</v>
      </c>
      <c r="L92" s="451">
        <f>'Capital &amp; Operating Costs'!L53</f>
        <v>105.79487046058813</v>
      </c>
      <c r="M92" s="451">
        <f>'Capital &amp; Operating Costs'!M53</f>
        <v>114.25846009743518</v>
      </c>
      <c r="N92" s="451">
        <f>'Capital &amp; Operating Costs'!N53</f>
        <v>0</v>
      </c>
      <c r="O92" s="451">
        <f>'Capital &amp; Operating Costs'!O53</f>
        <v>0</v>
      </c>
      <c r="P92" s="440"/>
      <c r="Q92" s="440"/>
    </row>
    <row r="93" spans="1:17" s="437" customFormat="1" x14ac:dyDescent="0.25">
      <c r="A93" s="437" t="s">
        <v>307</v>
      </c>
      <c r="B93" s="473" t="s">
        <v>73</v>
      </c>
      <c r="C93" s="448"/>
      <c r="D93" s="452">
        <f>D91+D92</f>
        <v>327.35760263051782</v>
      </c>
      <c r="E93" s="452">
        <f t="shared" ref="E93:O93" si="80">E91+E92</f>
        <v>636.00905653929181</v>
      </c>
      <c r="F93" s="452">
        <f t="shared" si="80"/>
        <v>848.13678304386735</v>
      </c>
      <c r="G93" s="452">
        <f t="shared" si="80"/>
        <v>920.13899421170618</v>
      </c>
      <c r="H93" s="452">
        <f t="shared" si="80"/>
        <v>997.90138227297211</v>
      </c>
      <c r="I93" s="452">
        <f t="shared" si="80"/>
        <v>1081.8847613791393</v>
      </c>
      <c r="J93" s="452">
        <f t="shared" si="80"/>
        <v>1172.5868108138</v>
      </c>
      <c r="K93" s="452">
        <f t="shared" si="80"/>
        <v>1270.5450242032334</v>
      </c>
      <c r="L93" s="452">
        <f t="shared" si="80"/>
        <v>1376.3398946638215</v>
      </c>
      <c r="M93" s="452">
        <f t="shared" si="80"/>
        <v>1490.5983547612566</v>
      </c>
      <c r="N93" s="452">
        <f t="shared" si="80"/>
        <v>1490.5983547612566</v>
      </c>
      <c r="O93" s="452">
        <f t="shared" si="80"/>
        <v>1490.5983547612566</v>
      </c>
      <c r="P93" s="440"/>
      <c r="Q93" s="440"/>
    </row>
    <row r="94" spans="1:17" ht="15.75" x14ac:dyDescent="0.25">
      <c r="A94" s="109" t="s">
        <v>295</v>
      </c>
      <c r="C94" s="156"/>
      <c r="D94" s="402"/>
      <c r="E94" s="402"/>
      <c r="F94" s="402"/>
      <c r="G94" s="402"/>
      <c r="H94" s="402"/>
      <c r="I94" s="402"/>
      <c r="J94" s="402"/>
      <c r="K94" s="402"/>
      <c r="L94" s="402"/>
      <c r="M94" s="402"/>
      <c r="N94" s="402"/>
      <c r="O94" s="402"/>
      <c r="P94" s="190"/>
      <c r="Q94" s="190"/>
    </row>
    <row r="95" spans="1:17" x14ac:dyDescent="0.25">
      <c r="A95" s="406" t="s">
        <v>394</v>
      </c>
      <c r="C95" s="156"/>
      <c r="D95" s="155"/>
      <c r="E95" s="155"/>
      <c r="F95" s="155"/>
      <c r="G95" s="155"/>
      <c r="H95" s="155"/>
      <c r="I95" s="155"/>
      <c r="J95" s="155"/>
      <c r="K95" s="155"/>
      <c r="L95" s="155"/>
      <c r="M95" s="155"/>
      <c r="N95" s="155"/>
      <c r="O95" s="155"/>
      <c r="P95" s="190"/>
      <c r="Q95" s="190"/>
    </row>
    <row r="96" spans="1:17" x14ac:dyDescent="0.25">
      <c r="A96" s="350" t="str">
        <f>'Sales&amp;Revenue'!A65</f>
        <v>Total ABC units sold</v>
      </c>
      <c r="B96" s="474" t="str">
        <f>'Sales&amp;Revenue'!B65</f>
        <v>units</v>
      </c>
      <c r="C96" s="396">
        <f>'Sales&amp;Revenue'!C65</f>
        <v>735565.2536666526</v>
      </c>
      <c r="D96" s="393">
        <f>'Sales&amp;Revenue'!D65</f>
        <v>40000</v>
      </c>
      <c r="E96" s="393">
        <f>'Sales&amp;Revenue'!E65</f>
        <v>42250</v>
      </c>
      <c r="F96" s="393">
        <f>'Sales&amp;Revenue'!F65</f>
        <v>46475</v>
      </c>
      <c r="G96" s="393">
        <f>'Sales&amp;Revenue'!G65</f>
        <v>55165</v>
      </c>
      <c r="H96" s="393">
        <f>'Sales&amp;Revenue'!H65</f>
        <v>68304.500000000015</v>
      </c>
      <c r="I96" s="393">
        <f>'Sales&amp;Revenue'!I65</f>
        <v>84836.950000000012</v>
      </c>
      <c r="J96" s="393">
        <f>'Sales&amp;Revenue'!J65</f>
        <v>95260.357500000013</v>
      </c>
      <c r="K96" s="393">
        <f>'Sales&amp;Revenue'!K65</f>
        <v>98118.168225000016</v>
      </c>
      <c r="L96" s="393">
        <f>'Sales&amp;Revenue'!L65</f>
        <v>101061.71327175002</v>
      </c>
      <c r="M96" s="393">
        <f>'Sales&amp;Revenue'!M65</f>
        <v>104093.56466990251</v>
      </c>
      <c r="N96" s="393">
        <f>'Sales&amp;Revenue'!N65</f>
        <v>0</v>
      </c>
      <c r="O96" s="393">
        <f>'Sales&amp;Revenue'!O65</f>
        <v>0</v>
      </c>
      <c r="P96" s="190"/>
      <c r="Q96" s="190"/>
    </row>
    <row r="97" spans="1:17" x14ac:dyDescent="0.25">
      <c r="A97" s="3" t="s">
        <v>424</v>
      </c>
      <c r="C97" s="405">
        <f>SUM(D97:O97)</f>
        <v>1</v>
      </c>
      <c r="D97" s="196">
        <f>D96/$C96</f>
        <v>5.4379947666923667E-2</v>
      </c>
      <c r="E97" s="196">
        <f t="shared" ref="E97:O97" si="81">E96/$C96</f>
        <v>5.7438819723188123E-2</v>
      </c>
      <c r="F97" s="196">
        <f t="shared" si="81"/>
        <v>6.3182701695506938E-2</v>
      </c>
      <c r="G97" s="196">
        <f t="shared" si="81"/>
        <v>7.49967453261461E-2</v>
      </c>
      <c r="H97" s="196">
        <f t="shared" si="81"/>
        <v>9.2859878385384703E-2</v>
      </c>
      <c r="I97" s="196">
        <f t="shared" si="81"/>
        <v>0.11533572253053551</v>
      </c>
      <c r="J97" s="196">
        <f t="shared" si="81"/>
        <v>0.129506331389561</v>
      </c>
      <c r="K97" s="196">
        <f t="shared" si="81"/>
        <v>0.13339152133124785</v>
      </c>
      <c r="L97" s="196">
        <f t="shared" si="81"/>
        <v>0.13739326697118528</v>
      </c>
      <c r="M97" s="196">
        <f t="shared" si="81"/>
        <v>0.14151506498032082</v>
      </c>
      <c r="N97" s="196">
        <f t="shared" si="81"/>
        <v>0</v>
      </c>
      <c r="O97" s="196">
        <f t="shared" si="81"/>
        <v>0</v>
      </c>
      <c r="P97" s="190"/>
      <c r="Q97" s="190"/>
    </row>
    <row r="98" spans="1:17" s="437" customFormat="1" ht="15.75" thickBot="1" x14ac:dyDescent="0.3">
      <c r="A98" s="493" t="s">
        <v>428</v>
      </c>
      <c r="B98" s="473"/>
      <c r="C98" s="438">
        <f t="shared" ref="C98" si="82">SUM(D98:O98)</f>
        <v>1490.5983547612568</v>
      </c>
      <c r="D98" s="439">
        <f>$C92*D97</f>
        <v>81.058660524319649</v>
      </c>
      <c r="E98" s="439">
        <f t="shared" ref="E98:O98" si="83">$C92*E97</f>
        <v>85.618210178812632</v>
      </c>
      <c r="F98" s="439">
        <f t="shared" si="83"/>
        <v>94.180031196693903</v>
      </c>
      <c r="G98" s="439">
        <f t="shared" si="83"/>
        <v>111.79002519560234</v>
      </c>
      <c r="H98" s="439">
        <f t="shared" si="83"/>
        <v>138.41678194458481</v>
      </c>
      <c r="I98" s="439">
        <f t="shared" si="83"/>
        <v>171.91923824921702</v>
      </c>
      <c r="J98" s="439">
        <f t="shared" si="83"/>
        <v>193.0419245004457</v>
      </c>
      <c r="K98" s="439">
        <f t="shared" si="83"/>
        <v>198.83318223545911</v>
      </c>
      <c r="L98" s="439">
        <f t="shared" si="83"/>
        <v>204.79817770252288</v>
      </c>
      <c r="M98" s="439">
        <f t="shared" si="83"/>
        <v>210.94212303359853</v>
      </c>
      <c r="N98" s="439">
        <f t="shared" si="83"/>
        <v>0</v>
      </c>
      <c r="O98" s="439">
        <f t="shared" si="83"/>
        <v>0</v>
      </c>
      <c r="P98" s="440"/>
      <c r="Q98" s="440"/>
    </row>
    <row r="99" spans="1:17" s="437" customFormat="1" ht="15.75" thickBot="1" x14ac:dyDescent="0.3">
      <c r="A99" s="437" t="s">
        <v>404</v>
      </c>
      <c r="B99" s="473" t="s">
        <v>73</v>
      </c>
      <c r="C99" s="448"/>
      <c r="D99" s="453">
        <f>D98</f>
        <v>81.058660524319649</v>
      </c>
      <c r="E99" s="452">
        <f>D99+E98</f>
        <v>166.67687070313229</v>
      </c>
      <c r="F99" s="452">
        <f t="shared" ref="F99" si="84">E99+F98</f>
        <v>260.8569018998262</v>
      </c>
      <c r="G99" s="452">
        <f t="shared" ref="G99" si="85">F99+G98</f>
        <v>372.64692709542851</v>
      </c>
      <c r="H99" s="452">
        <f t="shared" ref="H99" si="86">G99+H98</f>
        <v>511.06370904001335</v>
      </c>
      <c r="I99" s="452">
        <f t="shared" ref="I99" si="87">H99+I98</f>
        <v>682.98294728923042</v>
      </c>
      <c r="J99" s="452">
        <f t="shared" ref="J99" si="88">I99+J98</f>
        <v>876.02487178967613</v>
      </c>
      <c r="K99" s="452">
        <f t="shared" ref="K99" si="89">J99+K98</f>
        <v>1074.8580540251353</v>
      </c>
      <c r="L99" s="452">
        <f t="shared" ref="L99" si="90">K99+L98</f>
        <v>1279.6562317276582</v>
      </c>
      <c r="M99" s="452">
        <f t="shared" ref="M99" si="91">L99+M98</f>
        <v>1490.5983547612568</v>
      </c>
      <c r="N99" s="452">
        <f t="shared" ref="N99" si="92">M99+N98</f>
        <v>1490.5983547612568</v>
      </c>
      <c r="O99" s="452">
        <f t="shared" ref="O99" si="93">N99+O98</f>
        <v>1490.5983547612568</v>
      </c>
      <c r="P99" s="440"/>
      <c r="Q99" s="440"/>
    </row>
    <row r="100" spans="1:17" s="8" customFormat="1" ht="15.6" customHeight="1" x14ac:dyDescent="0.25">
      <c r="A100" s="94" t="s">
        <v>416</v>
      </c>
      <c r="B100" s="467"/>
      <c r="C100" s="397"/>
      <c r="D100" s="4"/>
      <c r="E100" s="4"/>
      <c r="F100" s="4"/>
      <c r="G100" s="4"/>
      <c r="H100" s="37"/>
      <c r="I100" s="4"/>
      <c r="J100" s="4"/>
      <c r="K100" s="4"/>
      <c r="L100" s="4"/>
      <c r="M100" s="4"/>
      <c r="N100" s="4"/>
      <c r="O100" s="4"/>
    </row>
    <row r="101" spans="1:17" s="437" customFormat="1" x14ac:dyDescent="0.25">
      <c r="A101" s="449" t="str">
        <f>'Capital &amp; Operating Costs'!A49</f>
        <v>Inflation - In country</v>
      </c>
      <c r="B101" s="481"/>
      <c r="C101" s="450"/>
      <c r="D101" s="461">
        <f>'Capital &amp; Operating Costs'!D49</f>
        <v>0.08</v>
      </c>
      <c r="E101" s="461">
        <f>'Capital &amp; Operating Costs'!E49</f>
        <v>0.08</v>
      </c>
      <c r="F101" s="461">
        <f>'Capital &amp; Operating Costs'!F49</f>
        <v>0.08</v>
      </c>
      <c r="G101" s="461">
        <f>'Capital &amp; Operating Costs'!G49</f>
        <v>0.08</v>
      </c>
      <c r="H101" s="461">
        <f>'Capital &amp; Operating Costs'!H49</f>
        <v>0.08</v>
      </c>
      <c r="I101" s="461">
        <f>'Capital &amp; Operating Costs'!I49</f>
        <v>0.08</v>
      </c>
      <c r="J101" s="461">
        <f>'Capital &amp; Operating Costs'!J49</f>
        <v>0.08</v>
      </c>
      <c r="K101" s="461">
        <f>'Capital &amp; Operating Costs'!K49</f>
        <v>0.08</v>
      </c>
      <c r="L101" s="461">
        <f>'Capital &amp; Operating Costs'!L49</f>
        <v>0.08</v>
      </c>
      <c r="M101" s="461">
        <f>'Capital &amp; Operating Costs'!M49</f>
        <v>0.08</v>
      </c>
      <c r="N101" s="461">
        <f>'Capital &amp; Operating Costs'!N49</f>
        <v>0.08</v>
      </c>
      <c r="O101" s="461">
        <f>'Capital &amp; Operating Costs'!O49</f>
        <v>0.08</v>
      </c>
      <c r="P101" s="440"/>
      <c r="Q101" s="440"/>
    </row>
    <row r="102" spans="1:17" s="437" customFormat="1" x14ac:dyDescent="0.25">
      <c r="A102" s="449" t="str">
        <f>'Project funding (Nominal)'!A35</f>
        <v xml:space="preserve">Inflation - US$ </v>
      </c>
      <c r="B102" s="481"/>
      <c r="C102" s="450"/>
      <c r="D102" s="461">
        <f>'Project funding (Nominal)'!D35</f>
        <v>0.02</v>
      </c>
      <c r="E102" s="461">
        <f>'Project funding (Nominal)'!E35</f>
        <v>0.02</v>
      </c>
      <c r="F102" s="461">
        <f>'Project funding (Nominal)'!F35</f>
        <v>0.02</v>
      </c>
      <c r="G102" s="461">
        <f>'Project funding (Nominal)'!G35</f>
        <v>0.02</v>
      </c>
      <c r="H102" s="461">
        <f>'Project funding (Nominal)'!H35</f>
        <v>0.02</v>
      </c>
      <c r="I102" s="461">
        <f>'Project funding (Nominal)'!I35</f>
        <v>0.02</v>
      </c>
      <c r="J102" s="461">
        <f>'Project funding (Nominal)'!J35</f>
        <v>0.02</v>
      </c>
      <c r="K102" s="461">
        <f>'Project funding (Nominal)'!K35</f>
        <v>0.02</v>
      </c>
      <c r="L102" s="461">
        <f>'Project funding (Nominal)'!L35</f>
        <v>0.02</v>
      </c>
      <c r="M102" s="461">
        <f>'Project funding (Nominal)'!M35</f>
        <v>0.02</v>
      </c>
      <c r="N102" s="461">
        <f>'Project funding (Nominal)'!N35</f>
        <v>0.02</v>
      </c>
      <c r="O102" s="461">
        <f>'Project funding (Nominal)'!O35</f>
        <v>0.02</v>
      </c>
      <c r="P102" s="440"/>
      <c r="Q102" s="440"/>
    </row>
    <row r="103" spans="1:17" s="437" customFormat="1" ht="15.75" thickBot="1" x14ac:dyDescent="0.3">
      <c r="A103" s="437" t="s">
        <v>405</v>
      </c>
      <c r="B103" s="473"/>
      <c r="C103" s="462"/>
      <c r="D103" s="463">
        <f>D101-D102</f>
        <v>0.06</v>
      </c>
      <c r="E103" s="463">
        <f t="shared" ref="E103:O103" si="94">E101-E102</f>
        <v>0.06</v>
      </c>
      <c r="F103" s="463">
        <f t="shared" si="94"/>
        <v>0.06</v>
      </c>
      <c r="G103" s="463">
        <f t="shared" si="94"/>
        <v>0.06</v>
      </c>
      <c r="H103" s="463">
        <f t="shared" si="94"/>
        <v>0.06</v>
      </c>
      <c r="I103" s="463">
        <f t="shared" si="94"/>
        <v>0.06</v>
      </c>
      <c r="J103" s="463">
        <f t="shared" si="94"/>
        <v>0.06</v>
      </c>
      <c r="K103" s="463">
        <f t="shared" si="94"/>
        <v>0.06</v>
      </c>
      <c r="L103" s="463">
        <f t="shared" si="94"/>
        <v>0.06</v>
      </c>
      <c r="M103" s="463">
        <f t="shared" si="94"/>
        <v>0.06</v>
      </c>
      <c r="N103" s="463">
        <f t="shared" si="94"/>
        <v>0.06</v>
      </c>
      <c r="O103" s="463">
        <f t="shared" si="94"/>
        <v>0.06</v>
      </c>
      <c r="P103" s="440"/>
      <c r="Q103" s="440"/>
    </row>
    <row r="104" spans="1:17" s="437" customFormat="1" ht="16.5" thickBot="1" x14ac:dyDescent="0.3">
      <c r="A104" s="437" t="s">
        <v>406</v>
      </c>
      <c r="B104" s="473"/>
      <c r="C104" s="462"/>
      <c r="D104" s="417">
        <f>(1+D103)^0.5</f>
        <v>1.0295630140987</v>
      </c>
      <c r="E104" s="132">
        <f t="shared" ref="E104:O104" si="95">D104*(1+E103)</f>
        <v>1.091336794944622</v>
      </c>
      <c r="F104" s="132">
        <f t="shared" si="95"/>
        <v>1.1568170026412994</v>
      </c>
      <c r="G104" s="132">
        <f t="shared" si="95"/>
        <v>1.2262260227997774</v>
      </c>
      <c r="H104" s="132">
        <f t="shared" si="95"/>
        <v>1.2997995841677641</v>
      </c>
      <c r="I104" s="132">
        <f t="shared" si="95"/>
        <v>1.3777875592178299</v>
      </c>
      <c r="J104" s="132">
        <f t="shared" si="95"/>
        <v>1.4604548127708998</v>
      </c>
      <c r="K104" s="132">
        <f t="shared" si="95"/>
        <v>1.548082101537154</v>
      </c>
      <c r="L104" s="132">
        <f t="shared" si="95"/>
        <v>1.6409670276293833</v>
      </c>
      <c r="M104" s="132">
        <f t="shared" si="95"/>
        <v>1.7394250492871464</v>
      </c>
      <c r="N104" s="132">
        <f t="shared" si="95"/>
        <v>1.8437905522443752</v>
      </c>
      <c r="O104" s="132">
        <f t="shared" si="95"/>
        <v>1.9544179853790378</v>
      </c>
      <c r="P104" s="440"/>
      <c r="Q104" s="440"/>
    </row>
    <row r="105" spans="1:17" s="437" customFormat="1" ht="15.75" thickBot="1" x14ac:dyDescent="0.3">
      <c r="A105" s="437" t="s">
        <v>407</v>
      </c>
      <c r="B105" s="473" t="s">
        <v>73</v>
      </c>
      <c r="C105" s="438">
        <f t="shared" ref="C105" si="96">SUM(D105:O105)</f>
        <v>1067.7250419880986</v>
      </c>
      <c r="D105" s="448">
        <f>D98/D104</f>
        <v>78.731130988888538</v>
      </c>
      <c r="E105" s="448">
        <f t="shared" ref="E105:O105" si="97">E98/E104</f>
        <v>78.452601044352377</v>
      </c>
      <c r="F105" s="448">
        <f t="shared" si="97"/>
        <v>81.413076555460023</v>
      </c>
      <c r="G105" s="448">
        <f t="shared" si="97"/>
        <v>91.165921385649639</v>
      </c>
      <c r="H105" s="448">
        <f t="shared" si="97"/>
        <v>106.49086492300299</v>
      </c>
      <c r="I105" s="448">
        <f t="shared" si="97"/>
        <v>124.77920641612963</v>
      </c>
      <c r="J105" s="448">
        <f t="shared" si="97"/>
        <v>132.17932031336872</v>
      </c>
      <c r="K105" s="448">
        <f t="shared" si="97"/>
        <v>128.4383961535564</v>
      </c>
      <c r="L105" s="448">
        <f t="shared" si="97"/>
        <v>124.80334720581423</v>
      </c>
      <c r="M105" s="448">
        <f t="shared" si="97"/>
        <v>121.27117700187607</v>
      </c>
      <c r="N105" s="448">
        <f t="shared" si="97"/>
        <v>0</v>
      </c>
      <c r="O105" s="448">
        <f t="shared" si="97"/>
        <v>0</v>
      </c>
      <c r="P105" s="440"/>
      <c r="Q105" s="440"/>
    </row>
    <row r="106" spans="1:17" s="437" customFormat="1" ht="15.75" thickBot="1" x14ac:dyDescent="0.3">
      <c r="A106" s="437" t="s">
        <v>308</v>
      </c>
      <c r="B106" s="473" t="s">
        <v>73</v>
      </c>
      <c r="C106" s="448"/>
      <c r="D106" s="453">
        <f>D105</f>
        <v>78.731130988888538</v>
      </c>
      <c r="E106" s="452">
        <f>D106+E105</f>
        <v>157.18373203324091</v>
      </c>
      <c r="F106" s="452">
        <f t="shared" ref="F106:O106" si="98">E106+F105</f>
        <v>238.59680858870092</v>
      </c>
      <c r="G106" s="452">
        <f t="shared" si="98"/>
        <v>329.76272997435058</v>
      </c>
      <c r="H106" s="452">
        <f t="shared" si="98"/>
        <v>436.25359489735354</v>
      </c>
      <c r="I106" s="452">
        <f t="shared" si="98"/>
        <v>561.03280131348311</v>
      </c>
      <c r="J106" s="452">
        <f t="shared" si="98"/>
        <v>693.21212162685185</v>
      </c>
      <c r="K106" s="452">
        <f t="shared" si="98"/>
        <v>821.65051778040822</v>
      </c>
      <c r="L106" s="452">
        <f t="shared" si="98"/>
        <v>946.45386498622247</v>
      </c>
      <c r="M106" s="452">
        <f t="shared" si="98"/>
        <v>1067.7250419880986</v>
      </c>
      <c r="N106" s="452">
        <f t="shared" si="98"/>
        <v>1067.7250419880986</v>
      </c>
      <c r="O106" s="452">
        <f t="shared" si="98"/>
        <v>1067.7250419880986</v>
      </c>
      <c r="P106" s="440"/>
      <c r="Q106" s="440"/>
    </row>
    <row r="107" spans="1:17" s="437" customFormat="1" x14ac:dyDescent="0.25">
      <c r="A107" s="437" t="s">
        <v>305</v>
      </c>
      <c r="B107" s="473" t="s">
        <v>73</v>
      </c>
      <c r="C107" s="448"/>
      <c r="D107" s="452">
        <f t="shared" ref="D107:O107" si="99">D93-D99</f>
        <v>246.29894210619818</v>
      </c>
      <c r="E107" s="452">
        <f t="shared" si="99"/>
        <v>469.33218583615951</v>
      </c>
      <c r="F107" s="452">
        <f t="shared" si="99"/>
        <v>587.27988114404116</v>
      </c>
      <c r="G107" s="452">
        <f t="shared" si="99"/>
        <v>547.49206711627767</v>
      </c>
      <c r="H107" s="452">
        <f t="shared" si="99"/>
        <v>486.83767323295876</v>
      </c>
      <c r="I107" s="452">
        <f t="shared" si="99"/>
        <v>398.90181408990884</v>
      </c>
      <c r="J107" s="452">
        <f t="shared" si="99"/>
        <v>296.56193902412383</v>
      </c>
      <c r="K107" s="452">
        <f t="shared" si="99"/>
        <v>195.68697017809814</v>
      </c>
      <c r="L107" s="452">
        <f t="shared" si="99"/>
        <v>96.683662936163273</v>
      </c>
      <c r="M107" s="452">
        <f t="shared" si="99"/>
        <v>0</v>
      </c>
      <c r="N107" s="452">
        <f t="shared" si="99"/>
        <v>0</v>
      </c>
      <c r="O107" s="452">
        <f t="shared" si="99"/>
        <v>0</v>
      </c>
      <c r="P107" s="440"/>
      <c r="Q107" s="440"/>
    </row>
    <row r="108" spans="1:17" x14ac:dyDescent="0.25">
      <c r="C108" s="156"/>
      <c r="D108" s="155"/>
      <c r="E108" s="155"/>
      <c r="F108" s="155"/>
      <c r="G108" s="155"/>
      <c r="H108" s="155"/>
      <c r="I108" s="155"/>
      <c r="J108" s="155"/>
      <c r="K108" s="155"/>
      <c r="L108" s="155"/>
      <c r="M108" s="155"/>
      <c r="N108" s="155"/>
      <c r="O108" s="155"/>
      <c r="P108" s="190"/>
      <c r="Q108" s="190"/>
    </row>
    <row r="109" spans="1:17" ht="15.75" x14ac:dyDescent="0.25">
      <c r="A109" s="38" t="s">
        <v>303</v>
      </c>
      <c r="C109" s="156"/>
      <c r="D109" s="155"/>
      <c r="E109" s="155"/>
      <c r="F109" s="155"/>
      <c r="G109" s="155"/>
      <c r="H109" s="155"/>
      <c r="I109" s="155"/>
      <c r="J109" s="155"/>
      <c r="K109" s="155"/>
      <c r="L109" s="155"/>
      <c r="M109" s="155"/>
      <c r="N109" s="155"/>
      <c r="O109" s="155"/>
      <c r="P109" s="190"/>
      <c r="Q109" s="190"/>
    </row>
    <row r="110" spans="1:17" ht="15.75" thickBot="1" x14ac:dyDescent="0.3">
      <c r="A110" s="406" t="s">
        <v>403</v>
      </c>
      <c r="C110" s="156"/>
      <c r="D110" s="155"/>
      <c r="E110" s="155"/>
      <c r="F110" s="155"/>
      <c r="G110" s="155"/>
      <c r="H110" s="155"/>
      <c r="I110" s="155"/>
      <c r="J110" s="155"/>
      <c r="K110" s="155"/>
      <c r="L110" s="155"/>
      <c r="M110" s="155"/>
      <c r="N110" s="155"/>
      <c r="O110" s="155"/>
      <c r="P110" s="190"/>
      <c r="Q110" s="190"/>
    </row>
    <row r="111" spans="1:17" s="437" customFormat="1" ht="16.5" thickBot="1" x14ac:dyDescent="0.3">
      <c r="A111" s="437" t="s">
        <v>425</v>
      </c>
      <c r="B111" s="473" t="s">
        <v>73</v>
      </c>
      <c r="C111" s="438"/>
      <c r="D111" s="184">
        <v>0</v>
      </c>
      <c r="E111" s="439">
        <f>D116</f>
        <v>0</v>
      </c>
      <c r="F111" s="439">
        <f t="shared" ref="F111:O111" si="100">E116</f>
        <v>0</v>
      </c>
      <c r="G111" s="439">
        <f t="shared" si="100"/>
        <v>0</v>
      </c>
      <c r="H111" s="439">
        <f t="shared" si="100"/>
        <v>0</v>
      </c>
      <c r="I111" s="439">
        <f t="shared" si="100"/>
        <v>0</v>
      </c>
      <c r="J111" s="439">
        <f t="shared" si="100"/>
        <v>0</v>
      </c>
      <c r="K111" s="439">
        <f t="shared" si="100"/>
        <v>0</v>
      </c>
      <c r="L111" s="439">
        <f t="shared" si="100"/>
        <v>0</v>
      </c>
      <c r="M111" s="439">
        <f t="shared" si="100"/>
        <v>0</v>
      </c>
      <c r="N111" s="439">
        <f t="shared" si="100"/>
        <v>0</v>
      </c>
      <c r="O111" s="439">
        <f t="shared" si="100"/>
        <v>0</v>
      </c>
      <c r="P111" s="440"/>
      <c r="Q111" s="440"/>
    </row>
    <row r="112" spans="1:17" s="437" customFormat="1" x14ac:dyDescent="0.25">
      <c r="A112" s="437" t="s">
        <v>426</v>
      </c>
      <c r="B112" s="473" t="str">
        <f>B27</f>
        <v>US$ 000  Nominal</v>
      </c>
      <c r="C112" s="438">
        <f>SUM(D112:O112)</f>
        <v>5520.8144827621845</v>
      </c>
      <c r="D112" s="439">
        <f t="shared" ref="D112:O112" si="101">D27</f>
        <v>125.36782465212497</v>
      </c>
      <c r="E112" s="439">
        <f t="shared" si="101"/>
        <v>162.98265541644594</v>
      </c>
      <c r="F112" s="439">
        <f t="shared" si="101"/>
        <v>194.54132974091732</v>
      </c>
      <c r="G112" s="439">
        <f t="shared" si="101"/>
        <v>293.59285995865366</v>
      </c>
      <c r="H112" s="439">
        <f t="shared" si="101"/>
        <v>490.50702977486242</v>
      </c>
      <c r="I112" s="439">
        <f t="shared" si="101"/>
        <v>712.14491300607392</v>
      </c>
      <c r="J112" s="439">
        <f t="shared" si="101"/>
        <v>835.76634729612863</v>
      </c>
      <c r="K112" s="439">
        <f t="shared" si="101"/>
        <v>862.77364903441526</v>
      </c>
      <c r="L112" s="439">
        <f t="shared" si="101"/>
        <v>886.50907896018805</v>
      </c>
      <c r="M112" s="439">
        <f t="shared" si="101"/>
        <v>956.6287949223746</v>
      </c>
      <c r="N112" s="439">
        <f t="shared" si="101"/>
        <v>0</v>
      </c>
      <c r="O112" s="439">
        <f t="shared" si="101"/>
        <v>0</v>
      </c>
      <c r="P112" s="440"/>
      <c r="Q112" s="440"/>
    </row>
    <row r="113" spans="1:17" s="437" customFormat="1" x14ac:dyDescent="0.25">
      <c r="A113" s="437" t="s">
        <v>402</v>
      </c>
      <c r="B113" s="473" t="s">
        <v>73</v>
      </c>
      <c r="C113" s="438"/>
      <c r="D113" s="439">
        <f>D111+D112</f>
        <v>125.36782465212497</v>
      </c>
      <c r="E113" s="439">
        <f t="shared" ref="E113:O113" si="102">E111+E112</f>
        <v>162.98265541644594</v>
      </c>
      <c r="F113" s="439">
        <f t="shared" si="102"/>
        <v>194.54132974091732</v>
      </c>
      <c r="G113" s="439">
        <f t="shared" si="102"/>
        <v>293.59285995865366</v>
      </c>
      <c r="H113" s="439">
        <f t="shared" si="102"/>
        <v>490.50702977486242</v>
      </c>
      <c r="I113" s="439">
        <f t="shared" si="102"/>
        <v>712.14491300607392</v>
      </c>
      <c r="J113" s="439">
        <f t="shared" si="102"/>
        <v>835.76634729612863</v>
      </c>
      <c r="K113" s="439">
        <f t="shared" si="102"/>
        <v>862.77364903441526</v>
      </c>
      <c r="L113" s="439">
        <f t="shared" si="102"/>
        <v>886.50907896018805</v>
      </c>
      <c r="M113" s="439">
        <f t="shared" si="102"/>
        <v>956.6287949223746</v>
      </c>
      <c r="N113" s="439">
        <f t="shared" si="102"/>
        <v>0</v>
      </c>
      <c r="O113" s="439">
        <f t="shared" si="102"/>
        <v>0</v>
      </c>
      <c r="P113" s="440"/>
      <c r="Q113" s="440"/>
    </row>
    <row r="114" spans="1:17" x14ac:dyDescent="0.25">
      <c r="A114" s="491" t="s">
        <v>427</v>
      </c>
      <c r="B114" s="477" t="str">
        <f>Taxes!B76</f>
        <v>% of assessable income</v>
      </c>
      <c r="C114" s="396"/>
      <c r="D114" s="404">
        <f>Taxes!D76</f>
        <v>0.25</v>
      </c>
      <c r="E114" s="404">
        <f>Taxes!E76</f>
        <v>0.25</v>
      </c>
      <c r="F114" s="404">
        <f>Taxes!F76</f>
        <v>0.25</v>
      </c>
      <c r="G114" s="404">
        <f>Taxes!G76</f>
        <v>0.25</v>
      </c>
      <c r="H114" s="404">
        <f>Taxes!H76</f>
        <v>0.25</v>
      </c>
      <c r="I114" s="404">
        <f>Taxes!I76</f>
        <v>0.25</v>
      </c>
      <c r="J114" s="404">
        <f>Taxes!J76</f>
        <v>0.25</v>
      </c>
      <c r="K114" s="404">
        <f>Taxes!K76</f>
        <v>0.25</v>
      </c>
      <c r="L114" s="404">
        <f>Taxes!L76</f>
        <v>0.25</v>
      </c>
      <c r="M114" s="404">
        <f>Taxes!M76</f>
        <v>0.25</v>
      </c>
      <c r="N114" s="404">
        <f>Taxes!N76</f>
        <v>0.25</v>
      </c>
      <c r="O114" s="404">
        <f>Taxes!O76</f>
        <v>0.25</v>
      </c>
      <c r="P114" s="190"/>
      <c r="Q114" s="190"/>
    </row>
    <row r="115" spans="1:17" s="437" customFormat="1" x14ac:dyDescent="0.25">
      <c r="A115" s="443" t="s">
        <v>304</v>
      </c>
      <c r="B115" s="473" t="s">
        <v>73</v>
      </c>
      <c r="C115" s="438">
        <f t="shared" ref="C115" si="103">SUM(D115:O115)</f>
        <v>1380.2036206905461</v>
      </c>
      <c r="D115" s="448">
        <f>IF(D113&lt;0,0,D113*D114)</f>
        <v>31.341956163031242</v>
      </c>
      <c r="E115" s="448">
        <f t="shared" ref="E115:O115" si="104">IF(E113&lt;0,0,E113*E114)</f>
        <v>40.745663854111484</v>
      </c>
      <c r="F115" s="448">
        <f t="shared" si="104"/>
        <v>48.63533243522933</v>
      </c>
      <c r="G115" s="448">
        <f t="shared" si="104"/>
        <v>73.398214989663416</v>
      </c>
      <c r="H115" s="448">
        <f t="shared" si="104"/>
        <v>122.6267574437156</v>
      </c>
      <c r="I115" s="448">
        <f t="shared" si="104"/>
        <v>178.03622825151848</v>
      </c>
      <c r="J115" s="448">
        <f t="shared" si="104"/>
        <v>208.94158682403216</v>
      </c>
      <c r="K115" s="448">
        <f t="shared" si="104"/>
        <v>215.69341225860381</v>
      </c>
      <c r="L115" s="448">
        <f t="shared" si="104"/>
        <v>221.62726974004701</v>
      </c>
      <c r="M115" s="448">
        <f t="shared" si="104"/>
        <v>239.15719873059365</v>
      </c>
      <c r="N115" s="448">
        <f t="shared" si="104"/>
        <v>0</v>
      </c>
      <c r="O115" s="448">
        <f t="shared" si="104"/>
        <v>0</v>
      </c>
      <c r="P115" s="440"/>
      <c r="Q115" s="440"/>
    </row>
    <row r="116" spans="1:17" s="437" customFormat="1" x14ac:dyDescent="0.25">
      <c r="A116" s="437" t="s">
        <v>296</v>
      </c>
      <c r="B116" s="473"/>
      <c r="C116" s="448"/>
      <c r="D116" s="439">
        <f>IF(D113-D115&lt;0,D113-D115,0)</f>
        <v>0</v>
      </c>
      <c r="E116" s="439">
        <f t="shared" ref="E116:O116" si="105">IF(E113-E115&lt;0,E113-E115,0)</f>
        <v>0</v>
      </c>
      <c r="F116" s="439">
        <f t="shared" si="105"/>
        <v>0</v>
      </c>
      <c r="G116" s="439">
        <f t="shared" si="105"/>
        <v>0</v>
      </c>
      <c r="H116" s="439">
        <f t="shared" si="105"/>
        <v>0</v>
      </c>
      <c r="I116" s="439">
        <f t="shared" si="105"/>
        <v>0</v>
      </c>
      <c r="J116" s="439">
        <f t="shared" si="105"/>
        <v>0</v>
      </c>
      <c r="K116" s="439">
        <f t="shared" si="105"/>
        <v>0</v>
      </c>
      <c r="L116" s="439">
        <f t="shared" si="105"/>
        <v>0</v>
      </c>
      <c r="M116" s="439">
        <f t="shared" si="105"/>
        <v>0</v>
      </c>
      <c r="N116" s="439">
        <f t="shared" si="105"/>
        <v>0</v>
      </c>
      <c r="O116" s="439">
        <f t="shared" si="105"/>
        <v>0</v>
      </c>
      <c r="P116" s="440"/>
      <c r="Q116" s="440"/>
    </row>
    <row r="117" spans="1:17" x14ac:dyDescent="0.25">
      <c r="C117" s="156"/>
      <c r="D117" s="155"/>
      <c r="E117" s="155"/>
      <c r="F117" s="155"/>
      <c r="G117" s="155"/>
      <c r="H117" s="155"/>
      <c r="I117" s="155"/>
      <c r="J117" s="155"/>
      <c r="K117" s="155"/>
      <c r="L117" s="155"/>
      <c r="M117" s="155"/>
      <c r="N117" s="155"/>
      <c r="O117" s="155"/>
      <c r="P117" s="190"/>
      <c r="Q117" s="190"/>
    </row>
    <row r="118" spans="1:17" ht="15.75" x14ac:dyDescent="0.25">
      <c r="A118" s="38" t="s">
        <v>302</v>
      </c>
      <c r="C118" s="401"/>
      <c r="D118" s="155"/>
      <c r="E118" s="155"/>
      <c r="F118" s="155"/>
      <c r="G118" s="155"/>
      <c r="H118" s="155"/>
      <c r="I118" s="155"/>
      <c r="J118" s="155"/>
      <c r="K118" s="155"/>
      <c r="L118" s="155"/>
      <c r="M118" s="155"/>
      <c r="N118" s="155"/>
      <c r="O118" s="155"/>
      <c r="P118" s="190"/>
      <c r="Q118" s="190"/>
    </row>
    <row r="119" spans="1:17" x14ac:dyDescent="0.25">
      <c r="A119" s="273" t="str">
        <f>'Net Cashflow - before funding'!A33</f>
        <v>Cumulative net cashflow  (Real)</v>
      </c>
      <c r="B119" s="477" t="str">
        <f>'Net Cashflow - before funding'!B33</f>
        <v>US$ 000  Real</v>
      </c>
      <c r="C119" s="403"/>
      <c r="D119" s="393">
        <f>'Net Cashflow - before funding'!D33</f>
        <v>-303.31131312031948</v>
      </c>
      <c r="E119" s="393">
        <f>'Net Cashflow - before funding'!E33</f>
        <v>-378.85770214805234</v>
      </c>
      <c r="F119" s="393">
        <f>'Net Cashflow - before funding'!F33</f>
        <v>-333.39040478282118</v>
      </c>
      <c r="G119" s="393">
        <f>'Net Cashflow - before funding'!G33</f>
        <v>-127.89788738217135</v>
      </c>
      <c r="H119" s="393">
        <f>'Net Cashflow - before funding'!H33</f>
        <v>183.96732891113174</v>
      </c>
      <c r="I119" s="393">
        <f>'Net Cashflow - before funding'!I33</f>
        <v>639.56934640481882</v>
      </c>
      <c r="J119" s="393">
        <f>'Net Cashflow - before funding'!J33</f>
        <v>1186.0151556609474</v>
      </c>
      <c r="K119" s="393">
        <f>'Net Cashflow - before funding'!K33</f>
        <v>1749.5238665065528</v>
      </c>
      <c r="L119" s="393">
        <f>'Net Cashflow - before funding'!L33</f>
        <v>2313.9919428063695</v>
      </c>
      <c r="M119" s="393">
        <f>'Net Cashflow - before funding'!M33</f>
        <v>3193.781226863905</v>
      </c>
      <c r="N119" s="393">
        <f>'Net Cashflow - before funding'!N33</f>
        <v>3282.1755937606645</v>
      </c>
      <c r="O119" s="393">
        <f>'Net Cashflow - before funding'!O33</f>
        <v>3282.1755937606645</v>
      </c>
      <c r="P119" s="190"/>
      <c r="Q119" s="190"/>
    </row>
    <row r="120" spans="1:17" s="437" customFormat="1" ht="18.75" customHeight="1" x14ac:dyDescent="0.25">
      <c r="A120" s="455" t="s">
        <v>409</v>
      </c>
      <c r="B120" s="473" t="s">
        <v>74</v>
      </c>
      <c r="C120" s="438">
        <f>SUM(D120:O120)</f>
        <v>17864.243078540338</v>
      </c>
      <c r="D120" s="439">
        <f>D119*D$64</f>
        <v>-306.32941047197534</v>
      </c>
      <c r="E120" s="439">
        <f t="shared" ref="E120" si="106">E119*E$64</f>
        <v>-390.28007384563796</v>
      </c>
      <c r="F120" s="439">
        <f t="shared" ref="F120" si="107">F119*F$64</f>
        <v>-350.31079923027028</v>
      </c>
      <c r="G120" s="439">
        <f t="shared" ref="G120" si="108">G119*G$64</f>
        <v>-137.0768045992684</v>
      </c>
      <c r="H120" s="439">
        <f t="shared" ref="H120" si="109">H119*H$64</f>
        <v>201.1136164657411</v>
      </c>
      <c r="I120" s="439">
        <f t="shared" ref="I120" si="110">I119*I$64</f>
        <v>713.16264196129646</v>
      </c>
      <c r="J120" s="439">
        <f t="shared" ref="J120" si="111">J119*J$64</f>
        <v>1348.9360312580877</v>
      </c>
      <c r="K120" s="439">
        <f t="shared" ref="K120" si="112">K119*K$64</f>
        <v>2029.6500303629725</v>
      </c>
      <c r="L120" s="439">
        <f t="shared" ref="L120" si="113">L119*L$64</f>
        <v>2738.1882494017468</v>
      </c>
      <c r="M120" s="439">
        <f t="shared" ref="M120" si="114">M119*M$64</f>
        <v>3854.8438938260506</v>
      </c>
      <c r="N120" s="439">
        <f t="shared" ref="N120" si="115">N119*N$64</f>
        <v>4040.7651997087091</v>
      </c>
      <c r="O120" s="439">
        <f t="shared" ref="O120" si="116">O119*O$64</f>
        <v>4121.5805037028831</v>
      </c>
      <c r="P120" s="440"/>
      <c r="Q120" s="440"/>
    </row>
    <row r="121" spans="1:17" x14ac:dyDescent="0.25">
      <c r="A121" s="111"/>
      <c r="B121" s="475"/>
      <c r="C121" s="401"/>
      <c r="D121" s="155"/>
      <c r="E121" s="155"/>
      <c r="F121" s="155"/>
      <c r="G121" s="155"/>
      <c r="H121" s="155"/>
      <c r="I121" s="155"/>
      <c r="J121" s="155"/>
      <c r="K121" s="155"/>
      <c r="L121" s="155"/>
      <c r="M121" s="155"/>
      <c r="N121" s="155"/>
      <c r="O121" s="155"/>
      <c r="P121" s="190"/>
      <c r="Q121" s="190"/>
    </row>
    <row r="122" spans="1:17" ht="15.75" x14ac:dyDescent="0.25">
      <c r="A122" s="38" t="s">
        <v>413</v>
      </c>
      <c r="C122" s="401"/>
      <c r="D122" s="155"/>
      <c r="E122" s="155"/>
      <c r="F122" s="155"/>
      <c r="G122" s="155"/>
      <c r="H122" s="155"/>
      <c r="I122" s="155"/>
      <c r="J122" s="155"/>
      <c r="K122" s="155"/>
      <c r="L122" s="155"/>
      <c r="M122" s="155"/>
      <c r="N122" s="155"/>
      <c r="O122" s="155"/>
      <c r="P122" s="190"/>
      <c r="Q122" s="190"/>
    </row>
    <row r="123" spans="1:17" x14ac:dyDescent="0.25">
      <c r="A123" s="273" t="str">
        <f>'Sales&amp;Revenue'!A120</f>
        <v>Total debtors - at end of year</v>
      </c>
      <c r="B123" s="477" t="str">
        <f>'Sales&amp;Revenue'!B120</f>
        <v>US$ 000  Real</v>
      </c>
      <c r="C123" s="403">
        <v>0</v>
      </c>
      <c r="D123" s="393">
        <f>'Sales&amp;Revenue'!D120</f>
        <v>108</v>
      </c>
      <c r="E123" s="393">
        <f>'Sales&amp;Revenue'!E120</f>
        <v>115.9474589041096</v>
      </c>
      <c r="F123" s="393">
        <f>'Sales&amp;Revenue'!F120</f>
        <v>129.48848542465754</v>
      </c>
      <c r="G123" s="393">
        <f>'Sales&amp;Revenue'!G120</f>
        <v>164.0463907171507</v>
      </c>
      <c r="H123" s="393">
        <f>'Sales&amp;Revenue'!H120</f>
        <v>225.6937795779306</v>
      </c>
      <c r="I123" s="393">
        <f>'Sales&amp;Revenue'!I120</f>
        <v>289.36755778384327</v>
      </c>
      <c r="J123" s="393">
        <f>'Sales&amp;Revenue'!J120</f>
        <v>321.42052388581476</v>
      </c>
      <c r="K123" s="393">
        <f>'Sales&amp;Revenue'!K120</f>
        <v>328.18058224506274</v>
      </c>
      <c r="L123" s="393">
        <f>'Sales&amp;Revenue'!L120</f>
        <v>335.11634631592949</v>
      </c>
      <c r="M123" s="393">
        <f>'Sales&amp;Revenue'!M120</f>
        <v>342.23283256699506</v>
      </c>
      <c r="N123" s="393">
        <f>'Sales&amp;Revenue'!N120</f>
        <v>0</v>
      </c>
      <c r="O123" s="393">
        <f>'Sales&amp;Revenue'!O120</f>
        <v>0</v>
      </c>
      <c r="P123" s="190"/>
      <c r="Q123" s="190"/>
    </row>
    <row r="124" spans="1:17" s="437" customFormat="1" ht="18.75" customHeight="1" x14ac:dyDescent="0.25">
      <c r="A124" s="455" t="str">
        <f>A123</f>
        <v>Total debtors - at end of year</v>
      </c>
      <c r="B124" s="473" t="s">
        <v>74</v>
      </c>
      <c r="C124" s="438"/>
      <c r="D124" s="439">
        <f t="shared" ref="D124:O124" si="117">D123*D$64</f>
        <v>109.07465333431044</v>
      </c>
      <c r="E124" s="439">
        <f t="shared" si="117"/>
        <v>119.44321724684409</v>
      </c>
      <c r="F124" s="439">
        <f t="shared" si="117"/>
        <v>136.06034897668519</v>
      </c>
      <c r="G124" s="439">
        <f t="shared" si="117"/>
        <v>175.81959722569061</v>
      </c>
      <c r="H124" s="439">
        <f t="shared" si="117"/>
        <v>246.72909311340729</v>
      </c>
      <c r="I124" s="439">
        <f t="shared" si="117"/>
        <v>322.66420078924989</v>
      </c>
      <c r="J124" s="439">
        <f t="shared" si="117"/>
        <v>365.57351209715489</v>
      </c>
      <c r="K124" s="439">
        <f t="shared" si="117"/>
        <v>380.72743188595689</v>
      </c>
      <c r="L124" s="439">
        <f t="shared" si="117"/>
        <v>396.54919478754147</v>
      </c>
      <c r="M124" s="439">
        <f t="shared" si="117"/>
        <v>413.06966607199325</v>
      </c>
      <c r="N124" s="439">
        <f t="shared" si="117"/>
        <v>0</v>
      </c>
      <c r="O124" s="439">
        <f t="shared" si="117"/>
        <v>0</v>
      </c>
      <c r="P124" s="440"/>
      <c r="Q124" s="440"/>
    </row>
    <row r="125" spans="1:17" s="190" customFormat="1" x14ac:dyDescent="0.25">
      <c r="A125" s="350" t="str">
        <f>'Capital &amp; Operating Costs'!A183</f>
        <v>Total creditors - at end of year</v>
      </c>
      <c r="B125" s="474" t="str">
        <f>'Capital &amp; Operating Costs'!B183</f>
        <v>US$ 000  Real</v>
      </c>
      <c r="C125" s="400"/>
      <c r="D125" s="392">
        <f>'Capital &amp; Operating Costs'!D183</f>
        <v>141.57024229686621</v>
      </c>
      <c r="E125" s="392">
        <f>'Capital &amp; Operating Costs'!E183</f>
        <v>139.02319500844436</v>
      </c>
      <c r="F125" s="392">
        <f>'Capital &amp; Operating Costs'!F183</f>
        <v>150.07079699380748</v>
      </c>
      <c r="G125" s="392">
        <f>'Capital &amp; Operating Costs'!G183</f>
        <v>172.36685151663727</v>
      </c>
      <c r="H125" s="392">
        <f>'Capital &amp; Operating Costs'!H183</f>
        <v>202.93522797188621</v>
      </c>
      <c r="I125" s="392">
        <f>'Capital &amp; Operating Costs'!I183</f>
        <v>240.30652712696232</v>
      </c>
      <c r="J125" s="392">
        <f>'Capital &amp; Operating Costs'!J183</f>
        <v>260.57197735003183</v>
      </c>
      <c r="K125" s="392">
        <f>'Capital &amp; Operating Costs'!K183</f>
        <v>263.04511664652409</v>
      </c>
      <c r="L125" s="392">
        <f>'Capital &amp; Operating Costs'!L183</f>
        <v>266.7939854666372</v>
      </c>
      <c r="M125" s="392">
        <f>'Capital &amp; Operating Costs'!M183</f>
        <v>253.83846567023539</v>
      </c>
      <c r="N125" s="392">
        <f>'Capital &amp; Operating Costs'!N183</f>
        <v>0</v>
      </c>
      <c r="O125" s="392">
        <f>'Capital &amp; Operating Costs'!O183</f>
        <v>0</v>
      </c>
    </row>
    <row r="126" spans="1:17" s="437" customFormat="1" ht="18.75" customHeight="1" x14ac:dyDescent="0.25">
      <c r="A126" s="455" t="str">
        <f>A125</f>
        <v>Total creditors - at end of year</v>
      </c>
      <c r="B126" s="473" t="s">
        <v>74</v>
      </c>
      <c r="C126" s="438"/>
      <c r="D126" s="439">
        <f t="shared" ref="D126:O126" si="118">D125*D$64</f>
        <v>142.97893612023162</v>
      </c>
      <c r="E126" s="439">
        <f t="shared" si="118"/>
        <v>143.21467534253512</v>
      </c>
      <c r="F126" s="439">
        <f t="shared" si="118"/>
        <v>157.68726418587443</v>
      </c>
      <c r="G126" s="439">
        <f t="shared" si="118"/>
        <v>184.73719705890005</v>
      </c>
      <c r="H126" s="439">
        <f t="shared" si="118"/>
        <v>221.84937862222822</v>
      </c>
      <c r="I126" s="439">
        <f t="shared" si="118"/>
        <v>267.95786685175813</v>
      </c>
      <c r="J126" s="439">
        <f t="shared" si="118"/>
        <v>296.36630468498674</v>
      </c>
      <c r="K126" s="439">
        <f t="shared" si="118"/>
        <v>305.16275839924333</v>
      </c>
      <c r="L126" s="439">
        <f t="shared" si="118"/>
        <v>315.70211741093169</v>
      </c>
      <c r="M126" s="439">
        <f t="shared" si="118"/>
        <v>306.37905037970125</v>
      </c>
      <c r="N126" s="439">
        <f t="shared" si="118"/>
        <v>0</v>
      </c>
      <c r="O126" s="439">
        <f t="shared" si="118"/>
        <v>0</v>
      </c>
      <c r="P126" s="440"/>
      <c r="Q126" s="440"/>
    </row>
    <row r="127" spans="1:17" x14ac:dyDescent="0.25">
      <c r="A127" s="111"/>
      <c r="B127" s="475"/>
      <c r="C127" s="401"/>
      <c r="D127" s="155"/>
      <c r="E127" s="155"/>
      <c r="F127" s="155"/>
      <c r="G127" s="155"/>
      <c r="H127" s="155"/>
      <c r="I127" s="155"/>
      <c r="J127" s="155"/>
      <c r="K127" s="155"/>
      <c r="L127" s="155"/>
      <c r="M127" s="155"/>
      <c r="N127" s="155"/>
      <c r="O127" s="155"/>
      <c r="P127" s="190"/>
      <c r="Q127" s="190"/>
    </row>
    <row r="128" spans="1:17" ht="15.75" x14ac:dyDescent="0.25">
      <c r="A128" s="38" t="s">
        <v>414</v>
      </c>
      <c r="C128" s="156"/>
      <c r="D128" s="190"/>
      <c r="E128" s="190"/>
      <c r="F128" s="190"/>
      <c r="G128" s="190"/>
      <c r="H128" s="190"/>
      <c r="I128" s="190"/>
      <c r="J128" s="190"/>
      <c r="K128" s="190"/>
      <c r="L128" s="190"/>
      <c r="M128" s="190"/>
      <c r="N128" s="190"/>
      <c r="O128" s="190"/>
      <c r="P128" s="190"/>
      <c r="Q128" s="190"/>
    </row>
    <row r="129" spans="1:17" s="440" customFormat="1" x14ac:dyDescent="0.25">
      <c r="A129" s="483" t="str">
        <f>'Project funding (Nominal)'!A58</f>
        <v>project loan - closing balance</v>
      </c>
      <c r="B129" s="484" t="str">
        <f>'Project funding (Nominal)'!B58</f>
        <v>US$ 000 Nominal</v>
      </c>
      <c r="C129" s="485"/>
      <c r="D129" s="486">
        <f>'Project funding (Nominal)'!D58</f>
        <v>153.16470523598767</v>
      </c>
      <c r="E129" s="486">
        <f>'Project funding (Nominal)'!E58</f>
        <v>192.07674281809921</v>
      </c>
      <c r="F129" s="486">
        <f>'Project funding (Nominal)'!F58</f>
        <v>44.301866725818797</v>
      </c>
      <c r="G129" s="486">
        <f>'Project funding (Nominal)'!G58</f>
        <v>0</v>
      </c>
      <c r="H129" s="486">
        <f>'Project funding (Nominal)'!H58</f>
        <v>0</v>
      </c>
      <c r="I129" s="486">
        <f>'Project funding (Nominal)'!I58</f>
        <v>0</v>
      </c>
      <c r="J129" s="486">
        <f>'Project funding (Nominal)'!J58</f>
        <v>0</v>
      </c>
      <c r="K129" s="486">
        <f>'Project funding (Nominal)'!K58</f>
        <v>0</v>
      </c>
      <c r="L129" s="486">
        <f>'Project funding (Nominal)'!L58</f>
        <v>0</v>
      </c>
      <c r="M129" s="486">
        <f>'Project funding (Nominal)'!M58</f>
        <v>0</v>
      </c>
      <c r="N129" s="486">
        <f>'Project funding (Nominal)'!N58</f>
        <v>0</v>
      </c>
      <c r="O129" s="486">
        <f>'Project funding (Nominal)'!O58</f>
        <v>0</v>
      </c>
    </row>
    <row r="130" spans="1:17" s="437" customFormat="1" x14ac:dyDescent="0.25">
      <c r="A130" s="440" t="s">
        <v>313</v>
      </c>
      <c r="B130" s="473" t="s">
        <v>73</v>
      </c>
      <c r="C130" s="448"/>
      <c r="D130" s="439">
        <f t="shared" ref="D130:O130" si="119">IF(D129-E129&gt;0,D129-E129,0)</f>
        <v>0</v>
      </c>
      <c r="E130" s="439">
        <f t="shared" si="119"/>
        <v>147.77487609228041</v>
      </c>
      <c r="F130" s="439">
        <f t="shared" si="119"/>
        <v>44.301866725818797</v>
      </c>
      <c r="G130" s="439">
        <f t="shared" si="119"/>
        <v>0</v>
      </c>
      <c r="H130" s="439">
        <f t="shared" si="119"/>
        <v>0</v>
      </c>
      <c r="I130" s="439">
        <f t="shared" si="119"/>
        <v>0</v>
      </c>
      <c r="J130" s="439">
        <f t="shared" si="119"/>
        <v>0</v>
      </c>
      <c r="K130" s="439">
        <f t="shared" si="119"/>
        <v>0</v>
      </c>
      <c r="L130" s="439">
        <f t="shared" si="119"/>
        <v>0</v>
      </c>
      <c r="M130" s="439">
        <f t="shared" si="119"/>
        <v>0</v>
      </c>
      <c r="N130" s="439">
        <f t="shared" si="119"/>
        <v>0</v>
      </c>
      <c r="O130" s="439">
        <f t="shared" si="119"/>
        <v>0</v>
      </c>
      <c r="P130" s="440"/>
      <c r="Q130" s="440"/>
    </row>
    <row r="131" spans="1:17" s="437" customFormat="1" x14ac:dyDescent="0.25">
      <c r="A131" s="440" t="s">
        <v>314</v>
      </c>
      <c r="B131" s="473" t="s">
        <v>73</v>
      </c>
      <c r="C131" s="448"/>
      <c r="D131" s="439">
        <f t="shared" ref="D131:O131" si="120">D129-D130</f>
        <v>153.16470523598767</v>
      </c>
      <c r="E131" s="439">
        <f t="shared" si="120"/>
        <v>44.301866725818797</v>
      </c>
      <c r="F131" s="439">
        <f t="shared" si="120"/>
        <v>0</v>
      </c>
      <c r="G131" s="439">
        <f t="shared" si="120"/>
        <v>0</v>
      </c>
      <c r="H131" s="439">
        <f t="shared" si="120"/>
        <v>0</v>
      </c>
      <c r="I131" s="439">
        <f t="shared" si="120"/>
        <v>0</v>
      </c>
      <c r="J131" s="439">
        <f t="shared" si="120"/>
        <v>0</v>
      </c>
      <c r="K131" s="439">
        <f t="shared" si="120"/>
        <v>0</v>
      </c>
      <c r="L131" s="439">
        <f t="shared" si="120"/>
        <v>0</v>
      </c>
      <c r="M131" s="439">
        <f t="shared" si="120"/>
        <v>0</v>
      </c>
      <c r="N131" s="439">
        <f t="shared" si="120"/>
        <v>0</v>
      </c>
      <c r="O131" s="439">
        <f t="shared" si="120"/>
        <v>0</v>
      </c>
      <c r="P131" s="440"/>
      <c r="Q131" s="440"/>
    </row>
    <row r="132" spans="1:17" x14ac:dyDescent="0.25">
      <c r="C132" s="156"/>
      <c r="D132" s="155"/>
      <c r="E132" s="155"/>
      <c r="F132" s="155"/>
      <c r="G132" s="155"/>
      <c r="H132" s="155"/>
      <c r="I132" s="155"/>
      <c r="J132" s="155"/>
      <c r="K132" s="155"/>
      <c r="L132" s="155"/>
      <c r="M132" s="155"/>
      <c r="N132" s="155"/>
      <c r="O132" s="155"/>
      <c r="P132" s="190"/>
      <c r="Q132" s="190"/>
    </row>
    <row r="133" spans="1:17" ht="15.75" x14ac:dyDescent="0.25">
      <c r="A133" s="38" t="s">
        <v>415</v>
      </c>
      <c r="C133" s="156"/>
      <c r="D133" s="190"/>
      <c r="E133" s="190"/>
      <c r="F133" s="190"/>
      <c r="G133" s="190"/>
      <c r="H133" s="190"/>
      <c r="I133" s="190"/>
      <c r="J133" s="190"/>
      <c r="K133" s="190"/>
      <c r="L133" s="190"/>
      <c r="M133" s="190"/>
      <c r="N133" s="190"/>
      <c r="O133" s="190"/>
      <c r="P133" s="190"/>
      <c r="Q133" s="190"/>
    </row>
    <row r="134" spans="1:17" s="190" customFormat="1" x14ac:dyDescent="0.25">
      <c r="A134" s="350" t="str">
        <f>'Project funding (Nominal)'!A74</f>
        <v>closing balance of equity funds invested</v>
      </c>
      <c r="B134" s="474" t="str">
        <f>'Project funding (Nominal)'!B74</f>
        <v>US$ 000 Nominal</v>
      </c>
      <c r="C134" s="400"/>
      <c r="D134" s="392">
        <f>'Project funding (Nominal)'!D74</f>
        <v>159.29129344542716</v>
      </c>
      <c r="E134" s="392">
        <f>'Project funding (Nominal)'!E74</f>
        <v>218.13957715914168</v>
      </c>
      <c r="F134" s="392">
        <f>'Project funding (Nominal)'!F74</f>
        <v>218.13957715914168</v>
      </c>
      <c r="G134" s="392">
        <f>'Project funding (Nominal)'!G74</f>
        <v>218.13957715914168</v>
      </c>
      <c r="H134" s="392">
        <f>'Project funding (Nominal)'!H74</f>
        <v>218.13957715914168</v>
      </c>
      <c r="I134" s="392">
        <f>'Project funding (Nominal)'!I74</f>
        <v>218.13957715914168</v>
      </c>
      <c r="J134" s="392">
        <f>'Project funding (Nominal)'!J74</f>
        <v>218.13957715914168</v>
      </c>
      <c r="K134" s="392">
        <f>'Project funding (Nominal)'!K74</f>
        <v>218.13957715914168</v>
      </c>
      <c r="L134" s="392">
        <f>'Project funding (Nominal)'!L74</f>
        <v>218.13957715914168</v>
      </c>
      <c r="M134" s="392">
        <f>'Project funding (Nominal)'!M74</f>
        <v>218.13957715914168</v>
      </c>
      <c r="N134" s="392">
        <f>'Project funding (Nominal)'!N74</f>
        <v>218.13957715914168</v>
      </c>
      <c r="O134" s="392">
        <f>'Project funding (Nominal)'!O74</f>
        <v>218.13957715914168</v>
      </c>
    </row>
    <row r="135" spans="1:17" x14ac:dyDescent="0.25">
      <c r="C135" s="156"/>
      <c r="D135" s="155"/>
      <c r="E135" s="155"/>
      <c r="F135" s="155"/>
      <c r="G135" s="155"/>
      <c r="H135" s="155"/>
      <c r="I135" s="155"/>
      <c r="J135" s="155"/>
      <c r="K135" s="155"/>
      <c r="L135" s="155"/>
      <c r="M135" s="155"/>
      <c r="N135" s="155"/>
      <c r="O135" s="155"/>
      <c r="P135" s="190"/>
      <c r="Q135" s="190"/>
    </row>
  </sheetData>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 Audits &amp; Log</vt:lpstr>
      <vt:lpstr>Sales&amp;Revenue</vt:lpstr>
      <vt:lpstr>Capital &amp; Operating Costs</vt:lpstr>
      <vt:lpstr>Taxes</vt:lpstr>
      <vt:lpstr>Net Cashflow - before funding</vt:lpstr>
      <vt:lpstr>Project funding (Nominal)</vt:lpstr>
      <vt:lpstr>Accounting (Nominal)</vt:lpstr>
      <vt:lpstr>'Capital &amp; Operating Costs'!Print_Area</vt:lpstr>
      <vt:lpstr>'Intro, Audits &amp; Log'!Print_Area</vt:lpstr>
      <vt:lpstr>'Net Cashflow - before funding'!Print_Area</vt:lpstr>
      <vt:lpstr>'Project funding (Nominal)'!Print_Area</vt:lpstr>
      <vt:lpstr>'Sales&amp;Revenue'!Print_Area</vt:lpstr>
      <vt:lpstr>Taxes!Print_Area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mpcard</dc:creator>
  <cp:lastModifiedBy>Peter Card</cp:lastModifiedBy>
  <cp:lastPrinted>2016-11-15T08:56:09Z</cp:lastPrinted>
  <dcterms:created xsi:type="dcterms:W3CDTF">2009-07-21T00:07:29Z</dcterms:created>
  <dcterms:modified xsi:type="dcterms:W3CDTF">2018-08-30T01:30:00Z</dcterms:modified>
</cp:coreProperties>
</file>