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eter\Documents\9. PBC Eco Eval\2023 revamp of working examples\"/>
    </mc:Choice>
  </mc:AlternateContent>
  <xr:revisionPtr revIDLastSave="0" documentId="13_ncr:1_{52A800C4-DBD6-44B3-B5FE-D5140DB2F142}" xr6:coauthVersionLast="47" xr6:coauthVersionMax="47" xr10:uidLastSave="{00000000-0000-0000-0000-000000000000}"/>
  <bookViews>
    <workbookView xWindow="-110" yWindow="-110" windowWidth="19420" windowHeight="11500" tabRatio="798" xr2:uid="{00000000-000D-0000-FFFF-FFFF00000000}"/>
  </bookViews>
  <sheets>
    <sheet name="Intro &amp; Audits" sheetId="5" r:id="rId1"/>
    <sheet name="preliminary business case" sheetId="6" r:id="rId2"/>
  </sheets>
  <definedNames>
    <definedName name="_xlnm.Print_Area" localSheetId="0">'Intro &amp; Audits'!$A$1:$S$29</definedName>
    <definedName name="_xlnm.Print_Area" localSheetId="1">'preliminary business case'!$A$1:$M$227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 l="1"/>
  <c r="C22" i="5"/>
  <c r="D22" i="5"/>
  <c r="E22" i="5"/>
  <c r="F22" i="5"/>
  <c r="G22" i="5"/>
  <c r="H22" i="5"/>
  <c r="I22" i="5"/>
  <c r="J22" i="5"/>
  <c r="K22" i="5"/>
  <c r="L22" i="5"/>
  <c r="M22" i="5"/>
  <c r="A22" i="5"/>
  <c r="B11" i="6" l="1"/>
  <c r="C10" i="6"/>
  <c r="B10" i="6"/>
  <c r="A11" i="6"/>
  <c r="A10" i="6"/>
  <c r="B8" i="6"/>
  <c r="A8" i="6"/>
  <c r="B7" i="6"/>
  <c r="A7" i="6"/>
  <c r="B6" i="6"/>
  <c r="B5" i="6"/>
  <c r="A6" i="6"/>
  <c r="A5" i="6"/>
  <c r="B17" i="6"/>
  <c r="A17" i="6"/>
  <c r="E89" i="6"/>
  <c r="F89" i="6" s="1"/>
  <c r="G89" i="6" s="1"/>
  <c r="H89" i="6" s="1"/>
  <c r="I89" i="6" s="1"/>
  <c r="J89" i="6" s="1"/>
  <c r="K89" i="6" s="1"/>
  <c r="L89" i="6" s="1"/>
  <c r="M89" i="6" s="1"/>
  <c r="A156" i="6"/>
  <c r="A131" i="6"/>
  <c r="M125" i="6"/>
  <c r="L125" i="6"/>
  <c r="K125" i="6"/>
  <c r="J125" i="6"/>
  <c r="I125" i="6"/>
  <c r="H125" i="6"/>
  <c r="G125" i="6"/>
  <c r="F125" i="6"/>
  <c r="E125" i="6"/>
  <c r="D125" i="6"/>
  <c r="B125" i="6"/>
  <c r="A125" i="6"/>
  <c r="A109" i="6"/>
  <c r="D148" i="6"/>
  <c r="E148" i="6"/>
  <c r="M148" i="6"/>
  <c r="B189" i="6" l="1"/>
  <c r="A189" i="6"/>
  <c r="E155" i="6" l="1"/>
  <c r="E135" i="6"/>
  <c r="A145" i="6"/>
  <c r="E140" i="6"/>
  <c r="F140" i="6"/>
  <c r="G140" i="6"/>
  <c r="H140" i="6"/>
  <c r="I140" i="6"/>
  <c r="J140" i="6"/>
  <c r="K140" i="6"/>
  <c r="L140" i="6"/>
  <c r="M140" i="6"/>
  <c r="D140" i="6"/>
  <c r="A140" i="6"/>
  <c r="E121" i="6"/>
  <c r="D119" i="6"/>
  <c r="E118" i="6"/>
  <c r="E119" i="6" s="1"/>
  <c r="D116" i="6"/>
  <c r="E115" i="6"/>
  <c r="E116" i="6" s="1"/>
  <c r="D113" i="6"/>
  <c r="E100" i="6"/>
  <c r="F100" i="6" s="1"/>
  <c r="H85" i="6"/>
  <c r="I85" i="6" s="1"/>
  <c r="E83" i="6"/>
  <c r="E86" i="6" s="1"/>
  <c r="E90" i="6" s="1"/>
  <c r="E101" i="6" s="1"/>
  <c r="E103" i="6" s="1"/>
  <c r="F83" i="6"/>
  <c r="F86" i="6" s="1"/>
  <c r="K83" i="6"/>
  <c r="L83" i="6"/>
  <c r="M83" i="6"/>
  <c r="D83" i="6"/>
  <c r="D86" i="6" s="1"/>
  <c r="D90" i="6" s="1"/>
  <c r="D101" i="6" s="1"/>
  <c r="H83" i="6"/>
  <c r="F90" i="6" l="1"/>
  <c r="D149" i="6"/>
  <c r="D136" i="6"/>
  <c r="D174" i="6"/>
  <c r="D156" i="6"/>
  <c r="D189" i="6" s="1"/>
  <c r="F155" i="6"/>
  <c r="F135" i="6"/>
  <c r="E122" i="6"/>
  <c r="E149" i="6"/>
  <c r="F145" i="6"/>
  <c r="C140" i="6"/>
  <c r="F115" i="6"/>
  <c r="G115" i="6" s="1"/>
  <c r="G116" i="6" s="1"/>
  <c r="D122" i="6"/>
  <c r="D124" i="6" s="1"/>
  <c r="F121" i="6"/>
  <c r="F122" i="6" s="1"/>
  <c r="F118" i="6"/>
  <c r="F119" i="6" s="1"/>
  <c r="G83" i="6"/>
  <c r="G86" i="6" s="1"/>
  <c r="G90" i="6" s="1"/>
  <c r="E172" i="6"/>
  <c r="D103" i="6"/>
  <c r="D172" i="6" s="1"/>
  <c r="G100" i="6"/>
  <c r="H86" i="6"/>
  <c r="H90" i="6" s="1"/>
  <c r="J85" i="6"/>
  <c r="K85" i="6" s="1"/>
  <c r="L85" i="6" s="1"/>
  <c r="M85" i="6" s="1"/>
  <c r="M86" i="6" s="1"/>
  <c r="M90" i="6" l="1"/>
  <c r="M174" i="6" s="1"/>
  <c r="M149" i="6"/>
  <c r="K86" i="6"/>
  <c r="F116" i="6"/>
  <c r="L86" i="6"/>
  <c r="D126" i="6"/>
  <c r="F156" i="6"/>
  <c r="F189" i="6" s="1"/>
  <c r="G155" i="6"/>
  <c r="G156" i="6" s="1"/>
  <c r="G189" i="6" s="1"/>
  <c r="G135" i="6"/>
  <c r="F136" i="6"/>
  <c r="H145" i="6"/>
  <c r="G145" i="6"/>
  <c r="H115" i="6"/>
  <c r="H116" i="6" s="1"/>
  <c r="G121" i="6"/>
  <c r="G122" i="6" s="1"/>
  <c r="G118" i="6"/>
  <c r="G119" i="6" s="1"/>
  <c r="H100" i="6"/>
  <c r="I83" i="6"/>
  <c r="I86" i="6" s="1"/>
  <c r="C80" i="6"/>
  <c r="D208" i="6"/>
  <c r="C208" i="6"/>
  <c r="B208" i="6"/>
  <c r="A208" i="6"/>
  <c r="D152" i="6"/>
  <c r="C152" i="6"/>
  <c r="B152" i="6"/>
  <c r="A152" i="6"/>
  <c r="D93" i="6"/>
  <c r="C93" i="6"/>
  <c r="B93" i="6"/>
  <c r="A93" i="6"/>
  <c r="D109" i="6"/>
  <c r="C109" i="6"/>
  <c r="B109" i="6"/>
  <c r="M131" i="6"/>
  <c r="M101" i="6" l="1"/>
  <c r="M103" i="6" s="1"/>
  <c r="M172" i="6" s="1"/>
  <c r="L90" i="6"/>
  <c r="L186" i="6" s="1"/>
  <c r="K90" i="6"/>
  <c r="K186" i="6" s="1"/>
  <c r="L145" i="6"/>
  <c r="I145" i="6"/>
  <c r="I90" i="6"/>
  <c r="H186" i="6"/>
  <c r="E156" i="6"/>
  <c r="E189" i="6" s="1"/>
  <c r="E174" i="6"/>
  <c r="E136" i="6"/>
  <c r="H155" i="6"/>
  <c r="H135" i="6"/>
  <c r="G136" i="6"/>
  <c r="I115" i="6"/>
  <c r="I116" i="6" s="1"/>
  <c r="H121" i="6"/>
  <c r="H122" i="6" s="1"/>
  <c r="H118" i="6"/>
  <c r="H119" i="6" s="1"/>
  <c r="I100" i="6"/>
  <c r="J83" i="6"/>
  <c r="J86" i="6" s="1"/>
  <c r="B186" i="6"/>
  <c r="M186" i="6"/>
  <c r="G186" i="6"/>
  <c r="F186" i="6"/>
  <c r="E186" i="6"/>
  <c r="D186" i="6"/>
  <c r="A186" i="6"/>
  <c r="E139" i="6"/>
  <c r="E130" i="6"/>
  <c r="E112" i="6"/>
  <c r="E113" i="6" s="1"/>
  <c r="E124" i="6" s="1"/>
  <c r="A101" i="6"/>
  <c r="D169" i="6"/>
  <c r="D176" i="6" s="1"/>
  <c r="E126" i="6" l="1"/>
  <c r="J145" i="6"/>
  <c r="J90" i="6"/>
  <c r="H156" i="6"/>
  <c r="H189" i="6" s="1"/>
  <c r="I186" i="6"/>
  <c r="I155" i="6"/>
  <c r="I135" i="6"/>
  <c r="H136" i="6"/>
  <c r="J115" i="6"/>
  <c r="J116" i="6" s="1"/>
  <c r="I121" i="6"/>
  <c r="I122" i="6" s="1"/>
  <c r="I118" i="6"/>
  <c r="I119" i="6" s="1"/>
  <c r="J100" i="6"/>
  <c r="C83" i="6"/>
  <c r="F130" i="6"/>
  <c r="E129" i="6"/>
  <c r="D131" i="6"/>
  <c r="D147" i="6" s="1"/>
  <c r="E131" i="6"/>
  <c r="E147" i="6" s="1"/>
  <c r="F139" i="6"/>
  <c r="F112" i="6"/>
  <c r="F113" i="6" s="1"/>
  <c r="F124" i="6" s="1"/>
  <c r="F126" i="6" l="1"/>
  <c r="J186" i="6"/>
  <c r="I156" i="6"/>
  <c r="I189" i="6" s="1"/>
  <c r="E233" i="6"/>
  <c r="E212" i="6"/>
  <c r="E188" i="6"/>
  <c r="J155" i="6"/>
  <c r="J135" i="6"/>
  <c r="I136" i="6"/>
  <c r="K115" i="6"/>
  <c r="K116" i="6" s="1"/>
  <c r="J121" i="6"/>
  <c r="J122" i="6" s="1"/>
  <c r="J118" i="6"/>
  <c r="J119" i="6" s="1"/>
  <c r="K100" i="6"/>
  <c r="L100" i="6" s="1"/>
  <c r="M100" i="6" s="1"/>
  <c r="G112" i="6"/>
  <c r="G113" i="6" s="1"/>
  <c r="G124" i="6" s="1"/>
  <c r="F129" i="6"/>
  <c r="G129" i="6" s="1"/>
  <c r="G144" i="6"/>
  <c r="G130" i="6"/>
  <c r="G139" i="6"/>
  <c r="C96" i="6"/>
  <c r="B19" i="6"/>
  <c r="B188" i="6"/>
  <c r="B190" i="6"/>
  <c r="A16" i="5"/>
  <c r="A27" i="5" s="1"/>
  <c r="E76" i="6"/>
  <c r="A1" i="6"/>
  <c r="B20" i="6"/>
  <c r="A19" i="6"/>
  <c r="A20" i="6"/>
  <c r="A234" i="6"/>
  <c r="A233" i="6"/>
  <c r="A232" i="6"/>
  <c r="A231" i="6"/>
  <c r="D230" i="6"/>
  <c r="C230" i="6"/>
  <c r="B230" i="6"/>
  <c r="A230" i="6"/>
  <c r="D224" i="6"/>
  <c r="E223" i="6"/>
  <c r="B210" i="6"/>
  <c r="B13" i="6" s="1"/>
  <c r="B211" i="6"/>
  <c r="B14" i="6" s="1"/>
  <c r="B212" i="6"/>
  <c r="B15" i="6" s="1"/>
  <c r="B213" i="6"/>
  <c r="B16" i="6" s="1"/>
  <c r="A213" i="6"/>
  <c r="A16" i="6" s="1"/>
  <c r="A212" i="6"/>
  <c r="A15" i="6" s="1"/>
  <c r="A211" i="6"/>
  <c r="A14" i="6" s="1"/>
  <c r="A210" i="6"/>
  <c r="A13" i="6" s="1"/>
  <c r="E203" i="6"/>
  <c r="A190" i="6"/>
  <c r="A188" i="6"/>
  <c r="K101" i="6" l="1"/>
  <c r="K103" i="6" s="1"/>
  <c r="K172" i="6" s="1"/>
  <c r="L101" i="6"/>
  <c r="L103" i="6" s="1"/>
  <c r="L172" i="6" s="1"/>
  <c r="G126" i="6"/>
  <c r="G101" i="6"/>
  <c r="G103" i="6" s="1"/>
  <c r="G172" i="6" s="1"/>
  <c r="H101" i="6"/>
  <c r="H103" i="6" s="1"/>
  <c r="H172" i="6" s="1"/>
  <c r="F101" i="6"/>
  <c r="F103" i="6" s="1"/>
  <c r="F172" i="6" s="1"/>
  <c r="I101" i="6"/>
  <c r="I103" i="6" s="1"/>
  <c r="I172" i="6" s="1"/>
  <c r="J101" i="6"/>
  <c r="J103" i="6" s="1"/>
  <c r="J172" i="6" s="1"/>
  <c r="J156" i="6"/>
  <c r="J189" i="6" s="1"/>
  <c r="K155" i="6"/>
  <c r="K156" i="6" s="1"/>
  <c r="K189" i="6" s="1"/>
  <c r="K135" i="6"/>
  <c r="J136" i="6"/>
  <c r="L115" i="6"/>
  <c r="L116" i="6" s="1"/>
  <c r="K121" i="6"/>
  <c r="K122" i="6" s="1"/>
  <c r="K118" i="6"/>
  <c r="K119" i="6" s="1"/>
  <c r="H112" i="6"/>
  <c r="H113" i="6" s="1"/>
  <c r="H124" i="6" s="1"/>
  <c r="F131" i="6"/>
  <c r="F147" i="6" s="1"/>
  <c r="H130" i="6"/>
  <c r="H144" i="6"/>
  <c r="H129" i="6"/>
  <c r="F76" i="6"/>
  <c r="G76" i="6" s="1"/>
  <c r="E208" i="6"/>
  <c r="E152" i="6"/>
  <c r="E93" i="6"/>
  <c r="E109" i="6"/>
  <c r="G131" i="6"/>
  <c r="H139" i="6"/>
  <c r="D210" i="6"/>
  <c r="D231" i="6"/>
  <c r="E230" i="6"/>
  <c r="E169" i="6"/>
  <c r="E176" i="6" s="1"/>
  <c r="F223" i="6"/>
  <c r="E224" i="6"/>
  <c r="F203" i="6"/>
  <c r="H126" i="6" l="1"/>
  <c r="G147" i="6"/>
  <c r="G148" i="6" s="1"/>
  <c r="F148" i="6"/>
  <c r="L155" i="6"/>
  <c r="L156" i="6" s="1"/>
  <c r="L189" i="6" s="1"/>
  <c r="L135" i="6"/>
  <c r="K136" i="6"/>
  <c r="M115" i="6"/>
  <c r="M116" i="6" s="1"/>
  <c r="C116" i="6" s="1"/>
  <c r="F230" i="6"/>
  <c r="L121" i="6"/>
  <c r="L122" i="6" s="1"/>
  <c r="L118" i="6"/>
  <c r="L119" i="6" s="1"/>
  <c r="I112" i="6"/>
  <c r="I113" i="6" s="1"/>
  <c r="I124" i="6" s="1"/>
  <c r="H131" i="6"/>
  <c r="H147" i="6" s="1"/>
  <c r="G93" i="6"/>
  <c r="G109" i="6"/>
  <c r="G208" i="6"/>
  <c r="G152" i="6"/>
  <c r="F152" i="6"/>
  <c r="F93" i="6"/>
  <c r="F109" i="6"/>
  <c r="F208" i="6"/>
  <c r="I129" i="6"/>
  <c r="I130" i="6"/>
  <c r="I144" i="6"/>
  <c r="I139" i="6"/>
  <c r="F211" i="6"/>
  <c r="D233" i="6"/>
  <c r="G203" i="6"/>
  <c r="G223" i="6"/>
  <c r="D211" i="6"/>
  <c r="D232" i="6"/>
  <c r="F169" i="6"/>
  <c r="H76" i="6"/>
  <c r="G230" i="6"/>
  <c r="F224" i="6"/>
  <c r="G212" i="6" l="1"/>
  <c r="G149" i="6"/>
  <c r="G233" i="6"/>
  <c r="G188" i="6"/>
  <c r="I126" i="6"/>
  <c r="F149" i="6"/>
  <c r="F188" i="6"/>
  <c r="F233" i="6"/>
  <c r="F212" i="6"/>
  <c r="H148" i="6"/>
  <c r="M155" i="6"/>
  <c r="M135" i="6"/>
  <c r="M136" i="6" s="1"/>
  <c r="L136" i="6"/>
  <c r="M121" i="6"/>
  <c r="M122" i="6" s="1"/>
  <c r="C122" i="6" s="1"/>
  <c r="M118" i="6"/>
  <c r="M119" i="6" s="1"/>
  <c r="C119" i="6" s="1"/>
  <c r="J112" i="6"/>
  <c r="J113" i="6" s="1"/>
  <c r="J124" i="6" s="1"/>
  <c r="J130" i="6"/>
  <c r="J144" i="6"/>
  <c r="H109" i="6"/>
  <c r="H93" i="6"/>
  <c r="H208" i="6"/>
  <c r="H152" i="6"/>
  <c r="J129" i="6"/>
  <c r="I131" i="6"/>
  <c r="J139" i="6"/>
  <c r="F232" i="6"/>
  <c r="D212" i="6"/>
  <c r="G224" i="6"/>
  <c r="D188" i="6"/>
  <c r="G169" i="6"/>
  <c r="D173" i="6"/>
  <c r="I76" i="6"/>
  <c r="H230" i="6"/>
  <c r="H203" i="6"/>
  <c r="H223" i="6"/>
  <c r="J126" i="6" l="1"/>
  <c r="I147" i="6"/>
  <c r="I148" i="6" s="1"/>
  <c r="H149" i="6"/>
  <c r="H188" i="6"/>
  <c r="H212" i="6"/>
  <c r="H233" i="6"/>
  <c r="M156" i="6"/>
  <c r="M189" i="6" s="1"/>
  <c r="C189" i="6" s="1"/>
  <c r="C136" i="6"/>
  <c r="K112" i="6"/>
  <c r="K113" i="6" s="1"/>
  <c r="K124" i="6" s="1"/>
  <c r="K129" i="6"/>
  <c r="C81" i="6"/>
  <c r="C82" i="6" s="1"/>
  <c r="C6" i="6" s="1"/>
  <c r="K130" i="6"/>
  <c r="I208" i="6"/>
  <c r="I109" i="6"/>
  <c r="I152" i="6"/>
  <c r="I93" i="6"/>
  <c r="K144" i="6"/>
  <c r="K145" i="6" s="1"/>
  <c r="C86" i="6"/>
  <c r="J131" i="6"/>
  <c r="J147" i="6" s="1"/>
  <c r="K139" i="6"/>
  <c r="D177" i="6"/>
  <c r="E171" i="6" s="1"/>
  <c r="H224" i="6"/>
  <c r="H231" i="6"/>
  <c r="E231" i="6"/>
  <c r="E210" i="6"/>
  <c r="I223" i="6"/>
  <c r="I203" i="6"/>
  <c r="H169" i="6"/>
  <c r="J76" i="6"/>
  <c r="I230" i="6"/>
  <c r="E232" i="6"/>
  <c r="E211" i="6"/>
  <c r="C85" i="6" l="1"/>
  <c r="C7" i="6" s="1"/>
  <c r="C8" i="6"/>
  <c r="I188" i="6"/>
  <c r="C125" i="6"/>
  <c r="C5" i="6"/>
  <c r="K131" i="6"/>
  <c r="I212" i="6"/>
  <c r="I149" i="6"/>
  <c r="K147" i="6"/>
  <c r="K126" i="6"/>
  <c r="J148" i="6"/>
  <c r="C156" i="6"/>
  <c r="L112" i="6"/>
  <c r="L113" i="6" s="1"/>
  <c r="L144" i="6"/>
  <c r="L130" i="6"/>
  <c r="J152" i="6"/>
  <c r="J93" i="6"/>
  <c r="J208" i="6"/>
  <c r="J109" i="6"/>
  <c r="L129" i="6"/>
  <c r="L139" i="6"/>
  <c r="E173" i="6"/>
  <c r="D190" i="6"/>
  <c r="D191" i="6" s="1"/>
  <c r="H210" i="6"/>
  <c r="H232" i="6"/>
  <c r="H211" i="6"/>
  <c r="J203" i="6"/>
  <c r="J223" i="6"/>
  <c r="K76" i="6"/>
  <c r="J230" i="6"/>
  <c r="F231" i="6"/>
  <c r="F210" i="6"/>
  <c r="I169" i="6"/>
  <c r="I224" i="6"/>
  <c r="I231" i="6"/>
  <c r="I210" i="6"/>
  <c r="L131" i="6" l="1"/>
  <c r="C131" i="6" s="1"/>
  <c r="K148" i="6"/>
  <c r="K149" i="6"/>
  <c r="D199" i="6"/>
  <c r="L124" i="6"/>
  <c r="K212" i="6"/>
  <c r="K188" i="6"/>
  <c r="J149" i="6"/>
  <c r="J188" i="6"/>
  <c r="J212" i="6"/>
  <c r="M112" i="6"/>
  <c r="M113" i="6" s="1"/>
  <c r="K93" i="6"/>
  <c r="K109" i="6"/>
  <c r="K152" i="6"/>
  <c r="K208" i="6"/>
  <c r="M129" i="6"/>
  <c r="M130" i="6"/>
  <c r="M144" i="6"/>
  <c r="M145" i="6" s="1"/>
  <c r="M139" i="6"/>
  <c r="C101" i="6"/>
  <c r="L211" i="6"/>
  <c r="L232" i="6"/>
  <c r="I232" i="6"/>
  <c r="I211" i="6"/>
  <c r="G210" i="6"/>
  <c r="G231" i="6"/>
  <c r="J169" i="6"/>
  <c r="K223" i="6"/>
  <c r="J224" i="6"/>
  <c r="G211" i="6"/>
  <c r="G232" i="6"/>
  <c r="L210" i="6"/>
  <c r="L231" i="6"/>
  <c r="L76" i="6"/>
  <c r="K230" i="6"/>
  <c r="K203" i="6"/>
  <c r="D200" i="6" l="1"/>
  <c r="D201" i="6"/>
  <c r="E198" i="6" s="1"/>
  <c r="L147" i="6"/>
  <c r="L126" i="6"/>
  <c r="M124" i="6"/>
  <c r="C113" i="6"/>
  <c r="L109" i="6"/>
  <c r="L208" i="6"/>
  <c r="L152" i="6"/>
  <c r="L93" i="6"/>
  <c r="C145" i="6"/>
  <c r="E190" i="6"/>
  <c r="E191" i="6" s="1"/>
  <c r="E177" i="6"/>
  <c r="M232" i="6"/>
  <c r="M211" i="6"/>
  <c r="K224" i="6"/>
  <c r="I233" i="6"/>
  <c r="L230" i="6"/>
  <c r="M76" i="6"/>
  <c r="M231" i="6"/>
  <c r="M210" i="6"/>
  <c r="J210" i="6"/>
  <c r="J231" i="6"/>
  <c r="L203" i="6"/>
  <c r="J232" i="6"/>
  <c r="J211" i="6"/>
  <c r="K169" i="6"/>
  <c r="L223" i="6"/>
  <c r="C186" i="6"/>
  <c r="L148" i="6" l="1"/>
  <c r="L149" i="6"/>
  <c r="E199" i="6"/>
  <c r="D204" i="6"/>
  <c r="D206" i="6" s="1"/>
  <c r="M147" i="6"/>
  <c r="M126" i="6"/>
  <c r="C124" i="6"/>
  <c r="C126" i="6" s="1"/>
  <c r="L188" i="6"/>
  <c r="L212" i="6"/>
  <c r="F171" i="6"/>
  <c r="F173" i="6" s="1"/>
  <c r="F174" i="6" s="1"/>
  <c r="F176" i="6" s="1"/>
  <c r="M208" i="6"/>
  <c r="M109" i="6"/>
  <c r="M152" i="6"/>
  <c r="M93" i="6"/>
  <c r="L224" i="6"/>
  <c r="K231" i="6"/>
  <c r="K210" i="6"/>
  <c r="C90" i="6"/>
  <c r="M230" i="6"/>
  <c r="M223" i="6"/>
  <c r="L169" i="6"/>
  <c r="M203" i="6"/>
  <c r="E201" i="6" l="1"/>
  <c r="F198" i="6" s="1"/>
  <c r="E200" i="6"/>
  <c r="D234" i="6"/>
  <c r="D213" i="6"/>
  <c r="D214" i="6" s="1"/>
  <c r="M188" i="6"/>
  <c r="M212" i="6"/>
  <c r="F177" i="6"/>
  <c r="G171" i="6" s="1"/>
  <c r="G173" i="6" s="1"/>
  <c r="G174" i="6" s="1"/>
  <c r="G176" i="6" s="1"/>
  <c r="M224" i="6"/>
  <c r="K233" i="6"/>
  <c r="J233" i="6"/>
  <c r="K211" i="6"/>
  <c r="C211" i="6" s="1"/>
  <c r="C14" i="6" s="1"/>
  <c r="K232" i="6"/>
  <c r="C172" i="6"/>
  <c r="C103" i="6"/>
  <c r="M169" i="6"/>
  <c r="M176" i="6" s="1"/>
  <c r="C210" i="6"/>
  <c r="C13" i="6" s="1"/>
  <c r="D225" i="6" l="1"/>
  <c r="D226" i="6" s="1"/>
  <c r="D215" i="6"/>
  <c r="D235" i="6"/>
  <c r="D236" i="6"/>
  <c r="E204" i="6"/>
  <c r="E206" i="6" s="1"/>
  <c r="E213" i="6" s="1"/>
  <c r="G190" i="6"/>
  <c r="G191" i="6" s="1"/>
  <c r="F190" i="6"/>
  <c r="F191" i="6" s="1"/>
  <c r="F199" i="6" s="1"/>
  <c r="E234" i="6" l="1"/>
  <c r="E235" i="6" s="1"/>
  <c r="F201" i="6"/>
  <c r="G198" i="6" s="1"/>
  <c r="F200" i="6"/>
  <c r="G199" i="6"/>
  <c r="D237" i="6"/>
  <c r="G177" i="6"/>
  <c r="H171" i="6" s="1"/>
  <c r="H173" i="6" s="1"/>
  <c r="H174" i="6" s="1"/>
  <c r="H176" i="6" s="1"/>
  <c r="C147" i="6"/>
  <c r="M233" i="6"/>
  <c r="L233" i="6"/>
  <c r="E214" i="6"/>
  <c r="E215" i="6" s="1"/>
  <c r="E236" i="6"/>
  <c r="F204" i="6" l="1"/>
  <c r="F206" i="6" s="1"/>
  <c r="F213" i="6" s="1"/>
  <c r="F214" i="6" s="1"/>
  <c r="F225" i="6" s="1"/>
  <c r="G201" i="6"/>
  <c r="H198" i="6" s="1"/>
  <c r="G200" i="6"/>
  <c r="G204" i="6" s="1"/>
  <c r="G206" i="6" s="1"/>
  <c r="C149" i="6"/>
  <c r="C148" i="6"/>
  <c r="C11" i="6" s="1"/>
  <c r="H190" i="6"/>
  <c r="H191" i="6" s="1"/>
  <c r="C212" i="6"/>
  <c r="C15" i="6" s="1"/>
  <c r="C188" i="6"/>
  <c r="C233" i="6"/>
  <c r="E237" i="6"/>
  <c r="E225" i="6"/>
  <c r="F234" i="6" l="1"/>
  <c r="F236" i="6" s="1"/>
  <c r="F215" i="6"/>
  <c r="H199" i="6"/>
  <c r="H177" i="6"/>
  <c r="I171" i="6" s="1"/>
  <c r="I173" i="6" s="1"/>
  <c r="I174" i="6" s="1"/>
  <c r="I176" i="6" s="1"/>
  <c r="I190" i="6" s="1"/>
  <c r="I191" i="6" s="1"/>
  <c r="F235" i="6"/>
  <c r="F237" i="6" s="1"/>
  <c r="E226" i="6"/>
  <c r="H200" i="6" l="1"/>
  <c r="H201" i="6"/>
  <c r="I198" i="6" s="1"/>
  <c r="I199" i="6"/>
  <c r="F226" i="6"/>
  <c r="I177" i="6"/>
  <c r="J171" i="6" s="1"/>
  <c r="J173" i="6" s="1"/>
  <c r="J174" i="6" s="1"/>
  <c r="G234" i="6"/>
  <c r="G213" i="6"/>
  <c r="I200" i="6" l="1"/>
  <c r="I204" i="6" s="1"/>
  <c r="I206" i="6" s="1"/>
  <c r="I201" i="6"/>
  <c r="J198" i="6" s="1"/>
  <c r="H204" i="6"/>
  <c r="H206" i="6" s="1"/>
  <c r="J176" i="6"/>
  <c r="J190" i="6" s="1"/>
  <c r="J191" i="6" s="1"/>
  <c r="G214" i="6"/>
  <c r="G215" i="6" s="1"/>
  <c r="G236" i="6"/>
  <c r="G235" i="6"/>
  <c r="J199" i="6" l="1"/>
  <c r="H213" i="6"/>
  <c r="H214" i="6" s="1"/>
  <c r="H225" i="6" s="1"/>
  <c r="H234" i="6"/>
  <c r="J177" i="6"/>
  <c r="K171" i="6" s="1"/>
  <c r="K173" i="6" s="1"/>
  <c r="K174" i="6" s="1"/>
  <c r="I234" i="6"/>
  <c r="I213" i="6"/>
  <c r="G237" i="6"/>
  <c r="G225" i="6"/>
  <c r="G226" i="6" s="1"/>
  <c r="K176" i="6" l="1"/>
  <c r="K190" i="6" s="1"/>
  <c r="K191" i="6" s="1"/>
  <c r="K199" i="6" s="1"/>
  <c r="H215" i="6"/>
  <c r="H235" i="6"/>
  <c r="H236" i="6"/>
  <c r="J200" i="6"/>
  <c r="J204" i="6" s="1"/>
  <c r="J206" i="6" s="1"/>
  <c r="J201" i="6"/>
  <c r="K198" i="6" s="1"/>
  <c r="I214" i="6"/>
  <c r="I236" i="6"/>
  <c r="I235" i="6"/>
  <c r="K177" i="6" l="1"/>
  <c r="L171" i="6" s="1"/>
  <c r="L173" i="6" s="1"/>
  <c r="L174" i="6" s="1"/>
  <c r="L176" i="6" s="1"/>
  <c r="C174" i="6"/>
  <c r="I215" i="6"/>
  <c r="K201" i="6"/>
  <c r="L198" i="6" s="1"/>
  <c r="K200" i="6"/>
  <c r="K204" i="6" s="1"/>
  <c r="K206" i="6" s="1"/>
  <c r="H237" i="6"/>
  <c r="H226" i="6"/>
  <c r="L190" i="6"/>
  <c r="L191" i="6" s="1"/>
  <c r="I225" i="6"/>
  <c r="J234" i="6"/>
  <c r="J213" i="6"/>
  <c r="I237" i="6"/>
  <c r="L199" i="6" l="1"/>
  <c r="I226" i="6"/>
  <c r="L177" i="6"/>
  <c r="M171" i="6" s="1"/>
  <c r="M173" i="6" s="1"/>
  <c r="K234" i="6"/>
  <c r="K213" i="6"/>
  <c r="K214" i="6" s="1"/>
  <c r="K225" i="6" s="1"/>
  <c r="J214" i="6"/>
  <c r="J215" i="6" s="1"/>
  <c r="J235" i="6"/>
  <c r="J236" i="6"/>
  <c r="K215" i="6" l="1"/>
  <c r="L200" i="6"/>
  <c r="L204" i="6" s="1"/>
  <c r="L206" i="6" s="1"/>
  <c r="L201" i="6"/>
  <c r="M198" i="6" s="1"/>
  <c r="M190" i="6"/>
  <c r="C190" i="6" s="1"/>
  <c r="J237" i="6"/>
  <c r="K235" i="6"/>
  <c r="K236" i="6"/>
  <c r="J225" i="6"/>
  <c r="M191" i="6" l="1"/>
  <c r="M177" i="6"/>
  <c r="K237" i="6"/>
  <c r="J226" i="6"/>
  <c r="L234" i="6"/>
  <c r="L213" i="6"/>
  <c r="L214" i="6" s="1"/>
  <c r="L225" i="6" l="1"/>
  <c r="L215" i="6"/>
  <c r="M199" i="6"/>
  <c r="C191" i="6"/>
  <c r="K226" i="6"/>
  <c r="L235" i="6"/>
  <c r="L236" i="6"/>
  <c r="M201" i="6" l="1"/>
  <c r="M200" i="6"/>
  <c r="C199" i="6"/>
  <c r="L226" i="6"/>
  <c r="L237" i="6"/>
  <c r="M204" i="6" l="1"/>
  <c r="C200" i="6"/>
  <c r="M206" i="6" l="1"/>
  <c r="C204" i="6"/>
  <c r="M213" i="6" l="1"/>
  <c r="M234" i="6"/>
  <c r="C206" i="6"/>
  <c r="M236" i="6" l="1"/>
  <c r="M235" i="6"/>
  <c r="M214" i="6"/>
  <c r="M215" i="6" s="1"/>
  <c r="C213" i="6"/>
  <c r="C16" i="6" s="1"/>
  <c r="C176" i="6"/>
  <c r="C178" i="6" s="1"/>
  <c r="M237" i="6" l="1"/>
  <c r="C217" i="6"/>
  <c r="C19" i="6" s="1"/>
  <c r="C214" i="6"/>
  <c r="C17" i="6" s="1"/>
  <c r="M225" i="6"/>
  <c r="C227" i="6" l="1"/>
  <c r="C20" i="6" s="1"/>
  <c r="M226" i="6"/>
  <c r="C225" i="6"/>
</calcChain>
</file>

<file path=xl/sharedStrings.xml><?xml version="1.0" encoding="utf-8"?>
<sst xmlns="http://schemas.openxmlformats.org/spreadsheetml/2006/main" count="222" uniqueCount="171">
  <si>
    <t>Contact</t>
  </si>
  <si>
    <t>Purpose</t>
  </si>
  <si>
    <t>Discount Rate</t>
  </si>
  <si>
    <t>Audits</t>
  </si>
  <si>
    <t>recovery</t>
  </si>
  <si>
    <t>Yet to be completed</t>
  </si>
  <si>
    <t>Cashstream 1: Production and Revenue</t>
  </si>
  <si>
    <t>units</t>
  </si>
  <si>
    <t>Total</t>
  </si>
  <si>
    <t>Production</t>
  </si>
  <si>
    <t>Explaining the Protocols - Ignore this</t>
  </si>
  <si>
    <t>This section is used to explain the spreadsheet formatting on the Introduction worksheet.</t>
  </si>
  <si>
    <t>Cashstream 2: Capital Costs</t>
  </si>
  <si>
    <t>Tax Deduction for Capital Expenditure</t>
  </si>
  <si>
    <t>Cashstream 3: Operating Costs</t>
  </si>
  <si>
    <t>Cashstream 4: Taxes</t>
  </si>
  <si>
    <t>less</t>
  </si>
  <si>
    <t>Discounting</t>
  </si>
  <si>
    <t>Discount Factor</t>
  </si>
  <si>
    <t>Company Income Tax  Rate</t>
  </si>
  <si>
    <t>% of assessable income</t>
  </si>
  <si>
    <t>Data for Graphs</t>
  </si>
  <si>
    <t>Cashflow if positive</t>
  </si>
  <si>
    <t>Cash Flow</t>
  </si>
  <si>
    <t>Warnings</t>
  </si>
  <si>
    <t xml:space="preserve">Self audit </t>
  </si>
  <si>
    <t xml:space="preserve">external peer </t>
  </si>
  <si>
    <t>% silver</t>
  </si>
  <si>
    <t>% Real</t>
  </si>
  <si>
    <t>Ongoing Capex</t>
  </si>
  <si>
    <t>% diminishing value</t>
  </si>
  <si>
    <t>Undeducted capex - opening balance</t>
  </si>
  <si>
    <t>Undeducted capex - available for deduction</t>
  </si>
  <si>
    <t>Undeducted capex - closing balance</t>
  </si>
  <si>
    <t>Check if deductions = capex</t>
  </si>
  <si>
    <t>Undeducted capex - added to pool</t>
  </si>
  <si>
    <t>Real</t>
  </si>
  <si>
    <t>This worked example is an illustration. Assume it has not been properly audited and should be checked before being used.</t>
  </si>
  <si>
    <t>Sales and Revenue</t>
  </si>
  <si>
    <t>General &amp; Admin</t>
  </si>
  <si>
    <t>Years --&gt;</t>
  </si>
  <si>
    <r>
      <rPr>
        <b/>
        <sz val="10"/>
        <color theme="1"/>
        <rFont val="Calibri"/>
        <family val="2"/>
        <scheme val="minor"/>
      </rPr>
      <t>Column B</t>
    </r>
    <r>
      <rPr>
        <sz val="10"/>
        <color theme="1"/>
        <rFont val="Calibri"/>
        <family val="2"/>
        <scheme val="minor"/>
      </rPr>
      <t xml:space="preserve"> is used for units - which are in full words and not abbreviations "millions dry tonnes" not "Mdt"</t>
    </r>
  </si>
  <si>
    <t>Major Development Capex</t>
  </si>
  <si>
    <t>Cashstream 1: Revenue</t>
  </si>
  <si>
    <t>Waste removed</t>
  </si>
  <si>
    <t>Ore mined</t>
  </si>
  <si>
    <t>000 tonnes</t>
  </si>
  <si>
    <t xml:space="preserve">Head Grade - acid soluble copper </t>
  </si>
  <si>
    <t xml:space="preserve">% Cu </t>
  </si>
  <si>
    <t>Contained acid soluble copper</t>
  </si>
  <si>
    <t>Recovery of soluble copper in processing and SX-EW</t>
  </si>
  <si>
    <t>Output and Sales of Cathode Copper</t>
  </si>
  <si>
    <t>Copper price - SX-EW cathode</t>
  </si>
  <si>
    <t>US$/lb real</t>
  </si>
  <si>
    <t>US$ millions real</t>
  </si>
  <si>
    <t>% of initial capex</t>
  </si>
  <si>
    <t>Your model may become long and detailed , but always use simple, obvious steps where anyone can readily follow the calculations.  Do not use 'half smart' algorithms that do multiple steps in one row - they are too tedious for others to untangle!</t>
  </si>
  <si>
    <t xml:space="preserve">Be very wary of operating costs that are based on the final quantities of product, rather than on the quantities being processed through each stage.  </t>
  </si>
  <si>
    <t>waste cost</t>
  </si>
  <si>
    <t>waste cost - variable</t>
  </si>
  <si>
    <t>ore cost - variable</t>
  </si>
  <si>
    <t>ore cost</t>
  </si>
  <si>
    <t>processing cost - variable</t>
  </si>
  <si>
    <t>processing cost</t>
  </si>
  <si>
    <t>SX-EW cost - variable</t>
  </si>
  <si>
    <t>supervision and technical</t>
  </si>
  <si>
    <t>closure</t>
  </si>
  <si>
    <t>rehabilitation</t>
  </si>
  <si>
    <t>Government Royalties</t>
  </si>
  <si>
    <t>private royalty</t>
  </si>
  <si>
    <t>private royalty rate</t>
  </si>
  <si>
    <t>% of sales revenue</t>
  </si>
  <si>
    <t>government royalty rate</t>
  </si>
  <si>
    <t>Income tax</t>
  </si>
  <si>
    <t>The computation of income tax, as illustrated below, must be kept fit for purpose.  In preliminary evaluations it probably can be done in real terms.  Only occasionally will tax laws warrant calculations to be in nominal terms. --&gt; Remember this model is not being used to file a tax return.</t>
  </si>
  <si>
    <t>Undeducted capex - in pool</t>
  </si>
  <si>
    <t>SX-EW cost</t>
  </si>
  <si>
    <t>Assessable Income</t>
  </si>
  <si>
    <t>Income Tax</t>
  </si>
  <si>
    <t>read from graph</t>
  </si>
  <si>
    <t>Peter Card</t>
  </si>
  <si>
    <t>years from first sales</t>
  </si>
  <si>
    <t>When used as a suitable proxy for straight line tax deductions, I understand that the diminishing rate should be increased by 50%.  For example if the law states tax deductions for capex is straight line over 10 years, then you should be able to use diminishing value method at 10% *150% = 15%.</t>
  </si>
  <si>
    <t>You could add accuracy to tax deductions for capex by eroding these 'real' tax deductions for inflation.  Convert capex into nominal terms, do the calculations then convert the deductions back to real terms.  This is more necessary with big capex and/or long life exercises.</t>
  </si>
  <si>
    <t xml:space="preserve">Match the detail of the operating costs with their materiality.  Start as simply as sensible and add detail as is justified.  Usually operating costs can be sorted into natural groups of variable costs and fixed costs.  </t>
  </si>
  <si>
    <t xml:space="preserve">Peter Card </t>
  </si>
  <si>
    <t>13 Aug 2025  S White,  "Sales Plan  for Copper Operations to 2035"</t>
  </si>
  <si>
    <t>Understanding the colours and layout is easy!</t>
  </si>
  <si>
    <t>1. Blue = Data Inputs: -</t>
  </si>
  <si>
    <t>2. Green = Data from other worksheets</t>
  </si>
  <si>
    <t>Importantly, it means that if 2028 is in column F in one worksheet then it is in column F in every other worksheet  (Reduces errors)</t>
  </si>
  <si>
    <t>3. Black = Algorithms</t>
  </si>
  <si>
    <t xml:space="preserve">&lt;-- Black font means this is an algorithm.  </t>
  </si>
  <si>
    <t>4. Italics = nominal dollars</t>
  </si>
  <si>
    <t>This website uses italics for nominal terms data and vertical font for real terms data</t>
  </si>
  <si>
    <t>To reduce errors and to speed up worksheet construction, the entire Row is referenced across.  Not just the one cell needed.</t>
  </si>
  <si>
    <t>Worksheet Architecture</t>
  </si>
  <si>
    <t>This will ensure that if a referenced cell is in Column F in the source Worksheet then it appears in the same Column (F) in this Worksheet.  (Important discipline for checking/auditing)</t>
  </si>
  <si>
    <t>US$ Real/ tonne waste</t>
  </si>
  <si>
    <t>US$ Real/ tonne ore</t>
  </si>
  <si>
    <t>US$ Real/ tonne cathode</t>
  </si>
  <si>
    <t>US$ M/annum Real</t>
  </si>
  <si>
    <t>US$ Real/ tonne waste &amp; ore</t>
  </si>
  <si>
    <t>US$/tonne ore</t>
  </si>
  <si>
    <t>US$/tonne cathode</t>
  </si>
  <si>
    <t>3 Dec 2025 2014 Carlo Embre:  Email - Initial capex estimates</t>
  </si>
  <si>
    <t>5 Dec 2025 Carlo Embre:  Email - on-going capex @  5% of total initial capex</t>
  </si>
  <si>
    <t>23Nov24 G Rose: Unclaimed tax deductions can be claimed in the final year of use.</t>
  </si>
  <si>
    <t>21Dec24 G Rose:  The government royalty rate is 6% of gross revenue</t>
  </si>
  <si>
    <t>21Dec24 G Rose:  The company income tax rate is 30% and the company expects to be paying income tax in future years so any losses can be used immediately.</t>
  </si>
  <si>
    <t>15Jul25 P  Card:  Do not use the Excel function for NPV because: 1. others cannot see and check the discount factor year by year, and 2. too many people have got its first year wrong.</t>
  </si>
  <si>
    <t>15Jul25 P  Card:  You must compute and graph the cumulative NPV as it can be more important than the final NPV</t>
  </si>
  <si>
    <t>Read the Website module on tax deductions for capex.    In many countries the tax deductions for capital spent is not the same as Accounting Depreciation</t>
  </si>
  <si>
    <t>Blue font means this is new input data.   (Every item of fresh input data is visually and obviously exposed in a cell.  Input data is never covertly entered into an algorithm.)</t>
  </si>
  <si>
    <t>The source of this data - date, person and document - is clearly visible in the row immediately above. Not as a hidden cell note.</t>
  </si>
  <si>
    <t>Pink font means that this input needs checking</t>
  </si>
  <si>
    <t>Green font means this row of items is referenced across from another Worksheet in this Workbook</t>
  </si>
  <si>
    <t>rehabilitation during operations</t>
  </si>
  <si>
    <t>Operating costs -  Variable</t>
  </si>
  <si>
    <t>Operating costs -  Fixed</t>
  </si>
  <si>
    <t>Operating costs -  Variable - per tonne of ore</t>
  </si>
  <si>
    <t>closure, rehabilitation &amp; monitoring</t>
  </si>
  <si>
    <t xml:space="preserve">The computation of income tax must follow the laws of the country.  Usually it will be different from the "accounting profit" methodology used by the Company.  So do not confuse the two.  </t>
  </si>
  <si>
    <t xml:space="preserve">For more accuracy, tax deductions for opex should be computed so as they match the sales.  This means computations should recognise yearly changes in working stock and product stocks.  But usually all these extra rows of computations make very little difference to the decision and so are not warranted.  Instead Cashstream#3 can be used. </t>
  </si>
  <si>
    <t>Tax deductions for capital expenditure</t>
  </si>
  <si>
    <t>Assessable income - added</t>
  </si>
  <si>
    <t>Assessable income - closing balance if negative</t>
  </si>
  <si>
    <t>Assessable income -  opening balance if negative</t>
  </si>
  <si>
    <t>Negative assessable income can b treated in two ways.</t>
  </si>
  <si>
    <t>If this project would become part of a bigger set of operations which are paying tax, then any negative assessable income here probably could be offset against positive asseable income elsewhere.</t>
  </si>
  <si>
    <t>If this project is to be assessed as standalone, then any years with negative assessable income would need to be carried forward until there is a cumulative positive assessable income.</t>
  </si>
  <si>
    <t>Assessable income - if positive cumulative</t>
  </si>
  <si>
    <t>In many countries, negative assessable income in the final years, including closure, cannot be carried back and result in a tax refund from previous years.</t>
  </si>
  <si>
    <t xml:space="preserve">7Jul25 F Green email: The Company has adopted a discount rate for investment in gold industry of 8% Real. </t>
  </si>
  <si>
    <t>Look inside this cell to reveal the logic!</t>
  </si>
  <si>
    <r>
      <rPr>
        <b/>
        <sz val="10"/>
        <color theme="1"/>
        <rFont val="Calibri"/>
        <family val="2"/>
        <scheme val="minor"/>
      </rPr>
      <t>Cloumn A</t>
    </r>
    <r>
      <rPr>
        <sz val="10"/>
        <color theme="1"/>
        <rFont val="Calibri"/>
        <family val="2"/>
        <scheme val="minor"/>
      </rPr>
      <t xml:space="preserve"> is used for descriptors.  It is not left blank as an indent</t>
    </r>
  </si>
  <si>
    <r>
      <rPr>
        <b/>
        <sz val="10"/>
        <color theme="1"/>
        <rFont val="Calibri"/>
        <family val="2"/>
        <scheme val="minor"/>
      </rPr>
      <t>Column C</t>
    </r>
    <r>
      <rPr>
        <sz val="10"/>
        <color theme="1"/>
        <rFont val="Calibri"/>
        <family val="2"/>
        <scheme val="minor"/>
      </rPr>
      <t xml:space="preserve"> is for totals (and averages).  These must be completed as checks on input data and results</t>
    </r>
  </si>
  <si>
    <r>
      <rPr>
        <b/>
        <sz val="10"/>
        <color theme="1"/>
        <rFont val="Calibri"/>
        <family val="2"/>
        <scheme val="minor"/>
      </rPr>
      <t>Column D</t>
    </r>
    <r>
      <rPr>
        <sz val="10"/>
        <color theme="1"/>
        <rFont val="Calibri"/>
        <family val="2"/>
        <scheme val="minor"/>
      </rPr>
      <t xml:space="preserve"> is where the years, quarters, months begin --------&gt;</t>
    </r>
  </si>
  <si>
    <t>Cashflow if in Deficit</t>
  </si>
  <si>
    <t>The proposed site is in lightly forested terrain and consruction should cause little disturbance</t>
  </si>
  <si>
    <t>Construction would take two years and production would start in 2029</t>
  </si>
  <si>
    <t>Results of a Preliminary Assessment</t>
  </si>
  <si>
    <t>Results in Graphic Form</t>
  </si>
  <si>
    <t>Payback</t>
  </si>
  <si>
    <r>
      <t xml:space="preserve">Discounted Cashflow </t>
    </r>
    <r>
      <rPr>
        <sz val="10"/>
        <color theme="1"/>
        <rFont val="Calibri"/>
        <family val="2"/>
        <scheme val="minor"/>
      </rPr>
      <t>- Annually</t>
    </r>
  </si>
  <si>
    <t>Discounted Cashflow - Cumulative (NPV)</t>
  </si>
  <si>
    <r>
      <t xml:space="preserve">NPV </t>
    </r>
    <r>
      <rPr>
        <b/>
        <sz val="10"/>
        <color theme="1"/>
        <rFont val="Calibri"/>
        <family val="2"/>
        <scheme val="minor"/>
      </rPr>
      <t xml:space="preserve"> </t>
    </r>
    <r>
      <rPr>
        <sz val="10"/>
        <color theme="1"/>
        <rFont val="Calibri"/>
        <family val="2"/>
        <scheme val="minor"/>
      </rPr>
      <t>(Net Present Value)</t>
    </r>
  </si>
  <si>
    <r>
      <t xml:space="preserve">IRR  </t>
    </r>
    <r>
      <rPr>
        <sz val="11"/>
        <rFont val="Calibri"/>
        <family val="2"/>
        <scheme val="minor"/>
      </rPr>
      <t xml:space="preserve"> </t>
    </r>
    <r>
      <rPr>
        <sz val="10"/>
        <rFont val="Calibri"/>
        <family val="2"/>
        <scheme val="minor"/>
      </rPr>
      <t>(Internal Rate of Return)</t>
    </r>
  </si>
  <si>
    <t>5 Nov 2025 Pedro Murphy:  Company forecasts of copper price</t>
  </si>
  <si>
    <t>3 Nov 2025 Michelle Basil:  Email of waste tonnes, ore tonnes, grade recovery.  To give steady waste removal and copper cathode output.</t>
  </si>
  <si>
    <t>3 Nov25 Carlos Bas:  email outlined operating costs splitting into variable and fixed.</t>
  </si>
  <si>
    <t>3 Nov25 Carlos Bas:  email detailed private royalty to ACD Ltd of 2.5% of gross revenue from copper</t>
  </si>
  <si>
    <t>3 Nov25 Carlos Bas:  email the preliminary estimate of closure at the end of mine life is $45m</t>
  </si>
  <si>
    <t>opex per tonne final product</t>
  </si>
  <si>
    <t>opex per tonne ore</t>
  </si>
  <si>
    <t>First compute the tax deductions for Capital Expenditure</t>
  </si>
  <si>
    <t>23Nov25 G Rose: … and the tax legislation is that deductions for new equipment start with commercial production.</t>
  </si>
  <si>
    <t>Highly accurate computations of tax deductions are likely to take many, many rows if each class of expenditure is done exactly according to country laws.  This is not fit for purpose as its precision is unnecessarily high for this preliminary level of study.  It is unnecessary, trivial and wasteful.  (Do not compute those big triangular shaped matrices.)</t>
  </si>
  <si>
    <t xml:space="preserve">Instead, you can choose to use a simple pool and diminishing value method - even where the tax laws specify straight line tax deductions - and for this evaluation, it is usually fit-for-purpose. </t>
  </si>
  <si>
    <t xml:space="preserve">15Nov25 G Rose: For this business, tax legislation has the bulk of the capex deducted over 5 years straight line.   So in the calculations below the diminishing value rate is 100%/5 years *150% = 30% . </t>
  </si>
  <si>
    <t>23Nov25 G Rose, Accountant emailed that $17M has been spent on the project (and is capitalised in the Accounts) but only $8M remains unclaimed deductions in the tax returns.</t>
  </si>
  <si>
    <t>Next compute: the assessable income</t>
  </si>
  <si>
    <t>Evaluating as a standalone project: -</t>
  </si>
  <si>
    <t>Costs</t>
  </si>
  <si>
    <t>Cashflows</t>
  </si>
  <si>
    <t>Key Metrics</t>
  </si>
  <si>
    <t>Cash Generation &amp; NPV</t>
  </si>
  <si>
    <t>Net Cash Generation- Cumulative</t>
  </si>
  <si>
    <r>
      <rPr>
        <sz val="16"/>
        <color rgb="FF0000FF"/>
        <rFont val="Arial"/>
        <family val="2"/>
      </rPr>
      <t>Worked Example -</t>
    </r>
    <r>
      <rPr>
        <b/>
        <sz val="18"/>
        <color indexed="12"/>
        <rFont val="Arial"/>
        <family val="2"/>
      </rPr>
      <t xml:space="preserve"> A Preliminary Assessment of a Project </t>
    </r>
    <r>
      <rPr>
        <sz val="14"/>
        <color rgb="FF0000FF"/>
        <rFont val="Arial"/>
        <family val="2"/>
      </rPr>
      <t>- www.economicevaluation.com.au</t>
    </r>
  </si>
  <si>
    <t>This 'Worked Example' illustrates a preliminary assessment of a project</t>
  </si>
  <si>
    <t>The proposed business would produce and sell copper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</si>
</sst>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3" x14ac:knownFonts="1">
    <font>
      <sz val="11"/>
      <color theme="1"/>
      <name val="Calibri"/>
      <family val="2"/>
      <scheme val="minor"/>
    </font>
    <font>
      <sz val="10"/>
      <color indexed="12"/>
      <name val="Arial"/>
      <family val="2"/>
    </font>
    <font>
      <sz val="11"/>
      <color theme="1"/>
      <name val="Calibri"/>
      <family val="2"/>
      <scheme val="minor"/>
    </font>
    <font>
      <sz val="10"/>
      <color rgb="FF0033CC"/>
      <name val="Arial"/>
      <family val="2"/>
    </font>
    <font>
      <b/>
      <sz val="12"/>
      <color theme="1"/>
      <name val="Calibri"/>
      <family val="2"/>
      <scheme val="minor"/>
    </font>
    <font>
      <b/>
      <sz val="12"/>
      <color rgb="FF000099"/>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8"/>
      <color rgb="FFFF0000"/>
      <name val="Calibri"/>
      <family val="2"/>
      <scheme val="minor"/>
    </font>
    <font>
      <b/>
      <sz val="14"/>
      <color rgb="FFFF0000"/>
      <name val="Calibri"/>
      <family val="2"/>
      <scheme val="minor"/>
    </font>
    <font>
      <sz val="10"/>
      <color theme="1"/>
      <name val="Calibri"/>
      <family val="2"/>
      <scheme val="minor"/>
    </font>
    <font>
      <b/>
      <sz val="10"/>
      <color rgb="FFFF00FF"/>
      <name val="Calibri"/>
      <family val="2"/>
      <scheme val="minor"/>
    </font>
    <font>
      <u/>
      <sz val="11"/>
      <color theme="10"/>
      <name val="Calibri"/>
      <family val="2"/>
      <scheme val="minor"/>
    </font>
    <font>
      <b/>
      <sz val="10"/>
      <color theme="1"/>
      <name val="Calibri"/>
      <family val="2"/>
      <scheme val="minor"/>
    </font>
    <font>
      <b/>
      <sz val="10"/>
      <color rgb="FF0070C0"/>
      <name val="Calibri"/>
      <family val="2"/>
      <scheme val="minor"/>
    </font>
    <font>
      <sz val="12"/>
      <color indexed="12"/>
      <name val="Arial"/>
      <family val="2"/>
    </font>
    <font>
      <sz val="12"/>
      <color rgb="FF0033CC"/>
      <name val="Arial"/>
      <family val="2"/>
    </font>
    <font>
      <sz val="10"/>
      <name val="Arial"/>
      <family val="2"/>
    </font>
    <font>
      <sz val="10"/>
      <name val="Calibri"/>
      <family val="2"/>
      <scheme val="minor"/>
    </font>
    <font>
      <b/>
      <sz val="12"/>
      <color rgb="FFFF0000"/>
      <name val="Calibri"/>
      <family val="2"/>
      <scheme val="minor"/>
    </font>
    <font>
      <b/>
      <sz val="12"/>
      <color theme="9" tint="0.59999389629810485"/>
      <name val="Calibri"/>
      <family val="2"/>
      <scheme val="minor"/>
    </font>
    <font>
      <sz val="12"/>
      <color rgb="FFFF00FF"/>
      <name val="Calibri"/>
      <family val="2"/>
      <scheme val="minor"/>
    </font>
    <font>
      <b/>
      <sz val="12"/>
      <name val="Calibri"/>
      <family val="2"/>
      <scheme val="minor"/>
    </font>
    <font>
      <sz val="12"/>
      <name val="Calibri"/>
      <family val="2"/>
      <scheme val="minor"/>
    </font>
    <font>
      <sz val="12"/>
      <color rgb="FF0070C0"/>
      <name val="Calibri"/>
      <family val="2"/>
      <scheme val="minor"/>
    </font>
    <font>
      <sz val="12"/>
      <color theme="6" tint="-0.499984740745262"/>
      <name val="Calibri"/>
      <family val="2"/>
      <scheme val="minor"/>
    </font>
    <font>
      <sz val="12"/>
      <color rgb="FF000099"/>
      <name val="Calibri"/>
      <family val="2"/>
      <scheme val="minor"/>
    </font>
    <font>
      <b/>
      <sz val="12"/>
      <color rgb="FF92D050"/>
      <name val="Calibri"/>
      <family val="2"/>
      <scheme val="minor"/>
    </font>
    <font>
      <sz val="12"/>
      <color rgb="FF92D050"/>
      <name val="Calibri"/>
      <family val="2"/>
      <scheme val="minor"/>
    </font>
    <font>
      <sz val="12"/>
      <color rgb="FFFF0000"/>
      <name val="Calibri"/>
      <family val="2"/>
      <scheme val="minor"/>
    </font>
    <font>
      <sz val="18"/>
      <color theme="1"/>
      <name val="Calibri"/>
      <family val="2"/>
      <scheme val="minor"/>
    </font>
    <font>
      <sz val="12"/>
      <color theme="0" tint="-0.14999847407452621"/>
      <name val="Calibri"/>
      <family val="2"/>
      <scheme val="minor"/>
    </font>
    <font>
      <sz val="10"/>
      <color rgb="FF0070C0"/>
      <name val="Calibri"/>
      <family val="2"/>
      <scheme val="minor"/>
    </font>
    <font>
      <sz val="11"/>
      <color rgb="FFFF0000"/>
      <name val="Calibri"/>
      <family val="2"/>
      <scheme val="minor"/>
    </font>
    <font>
      <b/>
      <sz val="11"/>
      <color theme="1"/>
      <name val="Calibri"/>
      <family val="2"/>
      <scheme val="minor"/>
    </font>
    <font>
      <b/>
      <sz val="11"/>
      <color indexed="10"/>
      <name val="Calibri"/>
      <family val="2"/>
    </font>
    <font>
      <sz val="11"/>
      <name val="Calibri"/>
      <family val="2"/>
      <scheme val="minor"/>
    </font>
    <font>
      <sz val="11"/>
      <color indexed="12"/>
      <name val="Arial"/>
      <family val="2"/>
    </font>
    <font>
      <sz val="11"/>
      <color rgb="FF00B050"/>
      <name val="Calibri"/>
      <family val="2"/>
      <scheme val="minor"/>
    </font>
    <font>
      <sz val="10"/>
      <color rgb="FF00B050"/>
      <name val="Calibri"/>
      <family val="2"/>
      <scheme val="minor"/>
    </font>
    <font>
      <b/>
      <sz val="14"/>
      <color rgb="FF0070C0"/>
      <name val="Calibri"/>
      <family val="2"/>
      <scheme val="minor"/>
    </font>
    <font>
      <b/>
      <sz val="14"/>
      <color rgb="FF00B050"/>
      <name val="Calibri"/>
      <family val="2"/>
      <scheme val="minor"/>
    </font>
    <font>
      <b/>
      <sz val="14"/>
      <name val="Calibri"/>
      <family val="2"/>
      <scheme val="minor"/>
    </font>
    <font>
      <b/>
      <i/>
      <sz val="14"/>
      <name val="Calibri"/>
      <family val="2"/>
      <scheme val="minor"/>
    </font>
    <font>
      <sz val="11"/>
      <color rgb="FFFF00FF"/>
      <name val="Arial"/>
      <family val="2"/>
    </font>
    <font>
      <b/>
      <sz val="16"/>
      <color rgb="FF00B050"/>
      <name val="Calibri"/>
      <family val="2"/>
      <scheme val="minor"/>
    </font>
    <font>
      <b/>
      <sz val="16"/>
      <color theme="1"/>
      <name val="Calibri"/>
      <family val="2"/>
      <scheme val="minor"/>
    </font>
    <font>
      <sz val="12"/>
      <color rgb="FFFF3399"/>
      <name val="Arial"/>
      <family val="2"/>
    </font>
    <font>
      <b/>
      <sz val="14"/>
      <color rgb="FF0033CC"/>
      <name val="Calibri"/>
      <family val="2"/>
      <scheme val="minor"/>
    </font>
    <font>
      <sz val="14"/>
      <color rgb="FF0033CC"/>
      <name val="Calibri"/>
      <family val="2"/>
      <scheme val="minor"/>
    </font>
    <font>
      <b/>
      <sz val="11"/>
      <color rgb="FFFF0000"/>
      <name val="Calibri"/>
      <family val="2"/>
      <scheme val="minor"/>
    </font>
    <font>
      <b/>
      <sz val="10"/>
      <color rgb="FF0033CC"/>
      <name val="Calibri"/>
      <family val="2"/>
      <scheme val="minor"/>
    </font>
    <font>
      <sz val="10"/>
      <color rgb="FF0033CC"/>
      <name val="Calibri"/>
      <family val="2"/>
      <scheme val="minor"/>
    </font>
    <font>
      <sz val="10"/>
      <color rgb="FF92D050"/>
      <name val="Calibri"/>
      <family val="2"/>
      <scheme val="minor"/>
    </font>
    <font>
      <sz val="10"/>
      <color rgb="FFFF0000"/>
      <name val="Calibri"/>
      <family val="2"/>
      <scheme val="minor"/>
    </font>
    <font>
      <b/>
      <sz val="18"/>
      <color indexed="12"/>
      <name val="Arial"/>
      <family val="2"/>
    </font>
    <font>
      <b/>
      <i/>
      <sz val="10"/>
      <name val="Calibri"/>
      <family val="2"/>
      <scheme val="minor"/>
    </font>
    <font>
      <b/>
      <sz val="11"/>
      <name val="Calibri"/>
      <family val="2"/>
      <scheme val="minor"/>
    </font>
    <font>
      <sz val="14"/>
      <color rgb="FF0000FF"/>
      <name val="Arial"/>
      <family val="2"/>
    </font>
    <font>
      <sz val="16"/>
      <color rgb="FF0000FF"/>
      <name val="Arial"/>
      <family val="2"/>
    </font>
    <font>
      <b/>
      <sz val="10"/>
      <color rgb="FF00B050"/>
      <name val="Calibri"/>
      <family val="2"/>
      <scheme val="minor"/>
    </font>
  </fonts>
  <fills count="3">
    <fill>
      <patternFill patternType="none"/>
    </fill>
    <fill>
      <patternFill patternType="gray125"/>
    </fill>
    <fill>
      <patternFill patternType="solid">
        <fgColor rgb="FF99CCFF"/>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14" fillId="0" borderId="0" applyNumberFormat="0" applyFill="0" applyBorder="0" applyAlignment="0" applyProtection="0"/>
  </cellStyleXfs>
  <cellXfs count="156">
    <xf numFmtId="0" fontId="0" fillId="0" borderId="0" xfId="0"/>
    <xf numFmtId="0" fontId="4" fillId="0" borderId="0" xfId="0" applyFont="1" applyAlignment="1">
      <alignment horizontal="center"/>
    </xf>
    <xf numFmtId="9" fontId="5" fillId="2" borderId="0" xfId="0" applyNumberFormat="1" applyFont="1" applyFill="1" applyAlignment="1">
      <alignment horizontal="center"/>
    </xf>
    <xf numFmtId="0" fontId="7" fillId="0" borderId="0" xfId="0" applyFont="1" applyAlignment="1">
      <alignment horizontal="center"/>
    </xf>
    <xf numFmtId="0" fontId="9" fillId="0" borderId="0" xfId="0" applyFont="1"/>
    <xf numFmtId="0" fontId="0" fillId="0" borderId="0" xfId="0" applyAlignment="1">
      <alignment vertical="center"/>
    </xf>
    <xf numFmtId="0" fontId="7" fillId="0" borderId="0" xfId="0" applyFont="1"/>
    <xf numFmtId="0" fontId="4" fillId="0" borderId="0" xfId="0" applyFont="1"/>
    <xf numFmtId="0" fontId="1" fillId="0" borderId="0" xfId="0" applyFont="1" applyAlignment="1">
      <alignment horizontal="center"/>
    </xf>
    <xf numFmtId="15" fontId="3" fillId="0" borderId="0" xfId="0" applyNumberFormat="1" applyFont="1" applyAlignment="1">
      <alignment horizontal="center"/>
    </xf>
    <xf numFmtId="0" fontId="12" fillId="0" borderId="0" xfId="0" applyFont="1"/>
    <xf numFmtId="0" fontId="15" fillId="0" borderId="0" xfId="0" applyFont="1"/>
    <xf numFmtId="0" fontId="15" fillId="0" borderId="0" xfId="0" applyFont="1" applyAlignment="1">
      <alignment horizontal="center"/>
    </xf>
    <xf numFmtId="0" fontId="17" fillId="0" borderId="0" xfId="0" applyFont="1" applyAlignment="1">
      <alignment horizontal="center"/>
    </xf>
    <xf numFmtId="15" fontId="18" fillId="0" borderId="0" xfId="0" applyNumberFormat="1" applyFont="1" applyAlignment="1">
      <alignment horizontal="center"/>
    </xf>
    <xf numFmtId="0" fontId="20" fillId="0" borderId="0" xfId="0" applyFont="1"/>
    <xf numFmtId="0" fontId="19" fillId="0" borderId="0" xfId="0" applyFont="1" applyAlignment="1">
      <alignment horizontal="center"/>
    </xf>
    <xf numFmtId="15" fontId="19" fillId="0" borderId="0" xfId="0" applyNumberFormat="1" applyFont="1" applyAlignment="1">
      <alignment horizontal="center"/>
    </xf>
    <xf numFmtId="0" fontId="10" fillId="0" borderId="0" xfId="0" applyFont="1" applyAlignment="1">
      <alignment vertical="center"/>
    </xf>
    <xf numFmtId="0" fontId="1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21" fillId="0" borderId="0" xfId="0" applyFont="1" applyAlignment="1">
      <alignment vertical="center"/>
    </xf>
    <xf numFmtId="3" fontId="4" fillId="0" borderId="0" xfId="0" applyNumberFormat="1" applyFont="1" applyAlignment="1">
      <alignment horizontal="center" vertical="center"/>
    </xf>
    <xf numFmtId="0" fontId="22" fillId="0" borderId="0" xfId="0" applyFont="1"/>
    <xf numFmtId="164" fontId="4" fillId="0" borderId="0" xfId="1" applyNumberFormat="1" applyFont="1" applyAlignment="1">
      <alignment horizontal="center"/>
    </xf>
    <xf numFmtId="0" fontId="23" fillId="0" borderId="0" xfId="0" applyFont="1" applyAlignment="1">
      <alignment horizontal="center"/>
    </xf>
    <xf numFmtId="0" fontId="21" fillId="0" borderId="0" xfId="0" applyFont="1"/>
    <xf numFmtId="0" fontId="27" fillId="0" borderId="0" xfId="0" applyFont="1"/>
    <xf numFmtId="3" fontId="27" fillId="0" borderId="0" xfId="0" applyNumberFormat="1" applyFont="1" applyAlignment="1">
      <alignment horizontal="right"/>
    </xf>
    <xf numFmtId="0" fontId="27" fillId="0" borderId="0" xfId="0" applyFont="1" applyAlignment="1">
      <alignment horizontal="center"/>
    </xf>
    <xf numFmtId="0" fontId="28" fillId="2" borderId="0" xfId="0" applyFont="1" applyFill="1" applyAlignment="1">
      <alignment horizontal="center"/>
    </xf>
    <xf numFmtId="9" fontId="28" fillId="2" borderId="0" xfId="0" applyNumberFormat="1" applyFont="1" applyFill="1" applyAlignment="1">
      <alignment horizontal="center"/>
    </xf>
    <xf numFmtId="0" fontId="32"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center"/>
    </xf>
    <xf numFmtId="164" fontId="24" fillId="0" borderId="0" xfId="1" applyNumberFormat="1" applyFont="1" applyAlignment="1">
      <alignment horizontal="center" vertical="center"/>
    </xf>
    <xf numFmtId="164" fontId="25" fillId="0" borderId="0" xfId="1" applyNumberFormat="1" applyFont="1" applyAlignment="1">
      <alignment horizontal="left" vertical="center"/>
    </xf>
    <xf numFmtId="0" fontId="34" fillId="0" borderId="0" xfId="0" applyFont="1"/>
    <xf numFmtId="0" fontId="16" fillId="0" borderId="0" xfId="0" applyFont="1" applyAlignment="1">
      <alignment horizontal="center"/>
    </xf>
    <xf numFmtId="0" fontId="37" fillId="0" borderId="0" xfId="0" applyFont="1" applyAlignment="1">
      <alignment vertical="center"/>
    </xf>
    <xf numFmtId="0" fontId="38" fillId="0" borderId="0" xfId="2" applyFont="1" applyFill="1"/>
    <xf numFmtId="0" fontId="39" fillId="0" borderId="0" xfId="0" applyFont="1"/>
    <xf numFmtId="15" fontId="39" fillId="0" borderId="0" xfId="0" applyNumberFormat="1" applyFont="1"/>
    <xf numFmtId="0" fontId="40" fillId="0" borderId="0" xfId="0" applyFont="1"/>
    <xf numFmtId="0" fontId="41" fillId="0" borderId="0" xfId="0" applyFont="1"/>
    <xf numFmtId="0" fontId="38" fillId="0" borderId="0" xfId="0" applyFont="1"/>
    <xf numFmtId="0" fontId="42" fillId="0" borderId="0" xfId="0" applyFont="1" applyAlignment="1">
      <alignment vertical="center"/>
    </xf>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applyAlignment="1">
      <alignment vertical="center"/>
    </xf>
    <xf numFmtId="0" fontId="48" fillId="0" borderId="0" xfId="0" applyFont="1" applyAlignment="1">
      <alignment horizontal="center" vertical="center"/>
    </xf>
    <xf numFmtId="0" fontId="49" fillId="0" borderId="0" xfId="0" applyFont="1" applyAlignment="1">
      <alignment vertical="center"/>
    </xf>
    <xf numFmtId="0" fontId="8" fillId="0" borderId="0" xfId="0" applyFont="1" applyAlignment="1">
      <alignment horizontal="center" vertical="center"/>
    </xf>
    <xf numFmtId="0" fontId="32" fillId="0" borderId="0" xfId="0" applyFont="1" applyAlignment="1">
      <alignment horizontal="center" vertical="center"/>
    </xf>
    <xf numFmtId="0" fontId="4" fillId="0" borderId="0" xfId="0" applyFont="1" applyAlignment="1">
      <alignment vertical="center"/>
    </xf>
    <xf numFmtId="0" fontId="0" fillId="0" borderId="0" xfId="0" applyAlignment="1">
      <alignment horizontal="left" vertical="center"/>
    </xf>
    <xf numFmtId="0" fontId="38" fillId="0" borderId="0" xfId="0" applyFont="1" applyAlignment="1">
      <alignment horizontal="left" vertical="center"/>
    </xf>
    <xf numFmtId="0" fontId="12" fillId="0" borderId="0" xfId="0" applyFont="1" applyAlignment="1">
      <alignment horizontal="center" vertical="center"/>
    </xf>
    <xf numFmtId="3" fontId="12" fillId="0" borderId="0" xfId="0" applyNumberFormat="1" applyFont="1"/>
    <xf numFmtId="3" fontId="12" fillId="0" borderId="0" xfId="0" applyNumberFormat="1" applyFont="1" applyAlignment="1">
      <alignment vertical="center"/>
    </xf>
    <xf numFmtId="3" fontId="12" fillId="0" borderId="0" xfId="0" applyNumberFormat="1" applyFont="1" applyAlignment="1">
      <alignment horizontal="center" vertical="center"/>
    </xf>
    <xf numFmtId="3" fontId="12" fillId="0" borderId="0" xfId="0" applyNumberFormat="1" applyFont="1" applyAlignment="1">
      <alignment horizontal="right"/>
    </xf>
    <xf numFmtId="0" fontId="57"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0" fillId="0" borderId="0" xfId="0" applyFont="1" applyAlignment="1">
      <alignment horizontal="center" vertical="center"/>
    </xf>
    <xf numFmtId="1" fontId="50" fillId="0" borderId="0" xfId="0" applyNumberFormat="1"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6" fillId="0" borderId="0" xfId="0" applyFont="1" applyAlignment="1">
      <alignment horizontal="center" vertical="center"/>
    </xf>
    <xf numFmtId="0" fontId="52" fillId="0" borderId="0" xfId="0" applyFont="1"/>
    <xf numFmtId="3" fontId="54" fillId="0" borderId="0" xfId="0" applyNumberFormat="1" applyFont="1"/>
    <xf numFmtId="3" fontId="15" fillId="0" borderId="0" xfId="0" applyNumberFormat="1" applyFont="1" applyAlignment="1">
      <alignment horizontal="center"/>
    </xf>
    <xf numFmtId="3" fontId="54" fillId="0" borderId="0" xfId="0" applyNumberFormat="1" applyFont="1" applyAlignment="1">
      <alignment horizontal="center"/>
    </xf>
    <xf numFmtId="164" fontId="54" fillId="0" borderId="0" xfId="1" applyNumberFormat="1" applyFont="1" applyFill="1" applyAlignment="1">
      <alignment horizontal="center"/>
    </xf>
    <xf numFmtId="3" fontId="12" fillId="0" borderId="0" xfId="0" applyNumberFormat="1" applyFont="1" applyAlignment="1">
      <alignment horizontal="center"/>
    </xf>
    <xf numFmtId="9" fontId="12" fillId="0" borderId="1" xfId="1" applyFont="1" applyFill="1" applyBorder="1" applyAlignment="1">
      <alignment horizontal="center"/>
    </xf>
    <xf numFmtId="9" fontId="54" fillId="0" borderId="0" xfId="1" applyFont="1" applyFill="1" applyAlignment="1">
      <alignment horizontal="center"/>
    </xf>
    <xf numFmtId="0" fontId="12" fillId="0" borderId="0" xfId="0" applyFont="1" applyAlignment="1">
      <alignment horizontal="center"/>
    </xf>
    <xf numFmtId="4" fontId="54" fillId="0" borderId="0" xfId="0" applyNumberFormat="1" applyFont="1" applyAlignment="1">
      <alignment horizontal="center"/>
    </xf>
    <xf numFmtId="0" fontId="24" fillId="0" borderId="0" xfId="0" applyFont="1"/>
    <xf numFmtId="3" fontId="4" fillId="0" borderId="0" xfId="0" applyNumberFormat="1" applyFont="1" applyAlignment="1">
      <alignment horizontal="center"/>
    </xf>
    <xf numFmtId="3" fontId="7" fillId="0" borderId="0" xfId="0" applyNumberFormat="1" applyFont="1" applyAlignment="1">
      <alignment vertical="center"/>
    </xf>
    <xf numFmtId="3" fontId="7" fillId="0" borderId="0" xfId="0" applyNumberFormat="1" applyFont="1" applyAlignment="1">
      <alignment horizontal="center" vertical="center"/>
    </xf>
    <xf numFmtId="3" fontId="53" fillId="0" borderId="0" xfId="0" applyNumberFormat="1" applyFont="1" applyAlignment="1">
      <alignment horizontal="center"/>
    </xf>
    <xf numFmtId="0" fontId="30" fillId="0" borderId="0" xfId="0" applyFont="1"/>
    <xf numFmtId="9" fontId="53" fillId="0" borderId="0" xfId="1" applyFont="1" applyFill="1" applyAlignment="1">
      <alignment horizontal="center"/>
    </xf>
    <xf numFmtId="0" fontId="55" fillId="0" borderId="0" xfId="0" applyFont="1" applyAlignment="1">
      <alignment horizontal="right"/>
    </xf>
    <xf numFmtId="9" fontId="54" fillId="0" borderId="0" xfId="1" applyFont="1" applyFill="1"/>
    <xf numFmtId="3" fontId="4" fillId="0" borderId="0" xfId="0" applyNumberFormat="1" applyFont="1"/>
    <xf numFmtId="3" fontId="7" fillId="0" borderId="0" xfId="0" applyNumberFormat="1" applyFont="1"/>
    <xf numFmtId="165" fontId="54" fillId="0" borderId="0" xfId="0" applyNumberFormat="1" applyFont="1" applyAlignment="1">
      <alignment horizontal="center"/>
    </xf>
    <xf numFmtId="165" fontId="12" fillId="0" borderId="0" xfId="0" applyNumberFormat="1" applyFont="1" applyAlignment="1">
      <alignment horizontal="center"/>
    </xf>
    <xf numFmtId="3" fontId="36" fillId="0" borderId="0" xfId="0" applyNumberFormat="1" applyFont="1"/>
    <xf numFmtId="165" fontId="12" fillId="0" borderId="2" xfId="0" applyNumberFormat="1" applyFont="1" applyBorder="1" applyAlignment="1">
      <alignment horizontal="center"/>
    </xf>
    <xf numFmtId="3" fontId="15" fillId="0" borderId="0" xfId="0" applyNumberFormat="1" applyFont="1"/>
    <xf numFmtId="0" fontId="35" fillId="0" borderId="0" xfId="0" applyFont="1"/>
    <xf numFmtId="0" fontId="31" fillId="0" borderId="0" xfId="0" applyFont="1"/>
    <xf numFmtId="0" fontId="16" fillId="0" borderId="0" xfId="0" applyFont="1"/>
    <xf numFmtId="0" fontId="12" fillId="0" borderId="0" xfId="0" applyFont="1" applyAlignment="1">
      <alignment horizontal="right"/>
    </xf>
    <xf numFmtId="0" fontId="29" fillId="0" borderId="0" xfId="0" applyFont="1"/>
    <xf numFmtId="38" fontId="12" fillId="0" borderId="0" xfId="0" applyNumberFormat="1" applyFont="1" applyAlignment="1">
      <alignment horizontal="center"/>
    </xf>
    <xf numFmtId="38" fontId="12" fillId="0" borderId="2" xfId="0" applyNumberFormat="1" applyFont="1" applyBorder="1" applyAlignment="1">
      <alignment horizontal="center"/>
    </xf>
    <xf numFmtId="3" fontId="56" fillId="0" borderId="0" xfId="0" applyNumberFormat="1" applyFont="1"/>
    <xf numFmtId="0" fontId="55" fillId="0" borderId="0" xfId="0" applyFont="1"/>
    <xf numFmtId="38" fontId="4" fillId="0" borderId="0" xfId="0" applyNumberFormat="1" applyFont="1" applyAlignment="1">
      <alignment horizontal="center"/>
    </xf>
    <xf numFmtId="38" fontId="12" fillId="0" borderId="0" xfId="0" applyNumberFormat="1" applyFont="1"/>
    <xf numFmtId="38" fontId="4" fillId="0" borderId="0" xfId="0" applyNumberFormat="1" applyFont="1"/>
    <xf numFmtId="38" fontId="7" fillId="0" borderId="0" xfId="0" applyNumberFormat="1" applyFont="1"/>
    <xf numFmtId="164" fontId="24" fillId="0" borderId="0" xfId="1" applyNumberFormat="1" applyFont="1" applyFill="1" applyAlignment="1">
      <alignment horizontal="center"/>
    </xf>
    <xf numFmtId="0" fontId="24" fillId="0" borderId="0" xfId="0" applyFont="1" applyAlignment="1">
      <alignment horizontal="center"/>
    </xf>
    <xf numFmtId="0" fontId="25" fillId="0" borderId="0" xfId="0" applyFont="1"/>
    <xf numFmtId="164" fontId="4" fillId="0" borderId="0" xfId="1" applyNumberFormat="1" applyFont="1" applyFill="1" applyAlignment="1">
      <alignment horizontal="center"/>
    </xf>
    <xf numFmtId="0" fontId="26" fillId="0" borderId="0" xfId="0" applyFont="1"/>
    <xf numFmtId="2" fontId="12" fillId="0" borderId="1" xfId="0" applyNumberFormat="1" applyFont="1" applyBorder="1" applyAlignment="1">
      <alignment horizontal="center"/>
    </xf>
    <xf numFmtId="2" fontId="12" fillId="0" borderId="0" xfId="0" applyNumberFormat="1" applyFont="1" applyAlignment="1">
      <alignment horizontal="center"/>
    </xf>
    <xf numFmtId="38" fontId="15" fillId="0" borderId="0" xfId="0" applyNumberFormat="1" applyFont="1"/>
    <xf numFmtId="38" fontId="15" fillId="0" borderId="0" xfId="0" applyNumberFormat="1" applyFont="1" applyAlignment="1">
      <alignment horizontal="center"/>
    </xf>
    <xf numFmtId="38" fontId="12" fillId="0" borderId="1" xfId="0" applyNumberFormat="1" applyFont="1" applyBorder="1" applyAlignment="1">
      <alignment horizontal="center"/>
    </xf>
    <xf numFmtId="38" fontId="8" fillId="0" borderId="0" xfId="0" applyNumberFormat="1" applyFont="1" applyAlignment="1">
      <alignment horizontal="center"/>
    </xf>
    <xf numFmtId="0" fontId="13" fillId="0" borderId="0" xfId="0" applyFont="1" applyAlignment="1">
      <alignment horizontal="center"/>
    </xf>
    <xf numFmtId="0" fontId="58" fillId="0" borderId="0" xfId="0" applyFont="1" applyAlignment="1">
      <alignment horizontal="center"/>
    </xf>
    <xf numFmtId="0" fontId="19" fillId="0" borderId="0" xfId="0" applyFont="1"/>
    <xf numFmtId="15" fontId="19" fillId="0" borderId="0" xfId="0" applyNumberFormat="1" applyFont="1"/>
    <xf numFmtId="0" fontId="7" fillId="0" borderId="0" xfId="0" applyFont="1" applyAlignment="1">
      <alignment horizontal="left"/>
    </xf>
    <xf numFmtId="0" fontId="1" fillId="0" borderId="0" xfId="0" applyFont="1"/>
    <xf numFmtId="15" fontId="1" fillId="0" borderId="0" xfId="0" applyNumberFormat="1" applyFont="1"/>
    <xf numFmtId="38" fontId="12" fillId="0" borderId="0" xfId="0" applyNumberFormat="1" applyFont="1" applyAlignment="1">
      <alignment vertical="center"/>
    </xf>
    <xf numFmtId="0" fontId="12" fillId="0" borderId="0" xfId="0" applyFont="1" applyAlignment="1">
      <alignment horizontal="left" vertical="center"/>
    </xf>
    <xf numFmtId="3" fontId="15" fillId="0" borderId="0" xfId="0" applyNumberFormat="1"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4" fillId="0" borderId="0" xfId="0" applyFont="1" applyAlignment="1">
      <alignment horizontal="center" vertical="center"/>
    </xf>
    <xf numFmtId="164" fontId="15" fillId="0" borderId="0" xfId="1" applyNumberFormat="1" applyFont="1" applyAlignment="1">
      <alignment horizontal="center"/>
    </xf>
    <xf numFmtId="38" fontId="12" fillId="0" borderId="0" xfId="0" applyNumberFormat="1" applyFont="1" applyAlignment="1">
      <alignment horizontal="right"/>
    </xf>
    <xf numFmtId="0" fontId="59" fillId="0" borderId="0" xfId="0" applyFont="1"/>
    <xf numFmtId="3" fontId="36" fillId="0" borderId="0" xfId="0" applyNumberFormat="1" applyFont="1" applyAlignment="1">
      <alignment horizontal="center"/>
    </xf>
    <xf numFmtId="0" fontId="36" fillId="0" borderId="0" xfId="0" applyFont="1"/>
    <xf numFmtId="3" fontId="36" fillId="0" borderId="2" xfId="0" applyNumberFormat="1" applyFont="1" applyBorder="1" applyAlignment="1">
      <alignment horizontal="center"/>
    </xf>
    <xf numFmtId="0" fontId="52" fillId="0" borderId="0" xfId="0" applyFont="1" applyAlignment="1">
      <alignment vertical="center"/>
    </xf>
    <xf numFmtId="0" fontId="11" fillId="0" borderId="0" xfId="0" applyFont="1"/>
    <xf numFmtId="0" fontId="20" fillId="0" borderId="0" xfId="0" applyFont="1" applyAlignment="1">
      <alignment horizontal="right"/>
    </xf>
    <xf numFmtId="3" fontId="20" fillId="0" borderId="0" xfId="0" applyNumberFormat="1" applyFont="1" applyAlignment="1">
      <alignment horizontal="center"/>
    </xf>
    <xf numFmtId="3" fontId="15" fillId="0" borderId="2" xfId="0" applyNumberFormat="1" applyFont="1" applyBorder="1" applyAlignment="1">
      <alignment horizontal="center"/>
    </xf>
    <xf numFmtId="164" fontId="12" fillId="0" borderId="0" xfId="1" applyNumberFormat="1" applyFont="1" applyAlignment="1">
      <alignment horizontal="center" vertical="center"/>
    </xf>
    <xf numFmtId="3" fontId="62" fillId="0" borderId="0" xfId="0" applyNumberFormat="1" applyFont="1" applyAlignment="1">
      <alignment horizontal="left"/>
    </xf>
    <xf numFmtId="3" fontId="62" fillId="0" borderId="0" xfId="0" applyNumberFormat="1" applyFont="1" applyAlignment="1">
      <alignment horizontal="center"/>
    </xf>
    <xf numFmtId="38" fontId="4" fillId="0" borderId="0" xfId="0" applyNumberFormat="1" applyFont="1" applyAlignment="1">
      <alignment vertical="center"/>
    </xf>
    <xf numFmtId="0" fontId="4" fillId="0" borderId="0" xfId="0" applyFont="1" applyAlignment="1">
      <alignment horizontal="left" vertical="center"/>
    </xf>
    <xf numFmtId="3" fontId="4" fillId="0" borderId="2" xfId="0" applyNumberFormat="1" applyFont="1" applyBorder="1" applyAlignment="1">
      <alignment horizontal="center" vertical="center"/>
    </xf>
    <xf numFmtId="3" fontId="4" fillId="0" borderId="0" xfId="0" applyNumberFormat="1" applyFont="1" applyAlignment="1">
      <alignment vertical="center"/>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CDDE"/>
      <color rgb="FFFFE1EB"/>
      <color rgb="FF00CC66"/>
      <color rgb="FF00CC00"/>
      <color rgb="FFFFFFCC"/>
      <color rgb="FF6F3505"/>
      <color rgb="FFFF9B9B"/>
      <color rgb="FF71FFFF"/>
      <color rgb="FF9BD4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Cash</a:t>
            </a:r>
          </a:p>
        </c:rich>
      </c:tx>
      <c:layout>
        <c:manualLayout>
          <c:xMode val="edge"/>
          <c:yMode val="edge"/>
          <c:x val="0.23170431211498974"/>
          <c:y val="6.7057837384744343E-2"/>
        </c:manualLayout>
      </c:layout>
      <c:overlay val="0"/>
    </c:title>
    <c:autoTitleDeleted val="0"/>
    <c:plotArea>
      <c:layout>
        <c:manualLayout>
          <c:layoutTarget val="inner"/>
          <c:xMode val="edge"/>
          <c:yMode val="edge"/>
          <c:x val="0.13945224711458407"/>
          <c:y val="4.1103299321928764E-2"/>
          <c:w val="0.84928458631467763"/>
          <c:h val="0.75925810997763199"/>
        </c:manualLayout>
      </c:layout>
      <c:barChart>
        <c:barDir val="col"/>
        <c:grouping val="stacked"/>
        <c:varyColors val="0"/>
        <c:ser>
          <c:idx val="0"/>
          <c:order val="0"/>
          <c:tx>
            <c:strRef>
              <c:f>'preliminary business case'!$A$214</c:f>
              <c:strCache>
                <c:ptCount val="1"/>
                <c:pt idx="0">
                  <c:v>Cash Generation &amp; NPV</c:v>
                </c:pt>
              </c:strCache>
            </c:strRef>
          </c:tx>
          <c:spPr>
            <a:solidFill>
              <a:schemeClr val="accent3">
                <a:lumMod val="40000"/>
                <a:lumOff val="60000"/>
              </a:schemeClr>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case'!$D$214:$M$214</c:f>
              <c:numCache>
                <c:formatCode>#,##0_);[Red]\(#,##0\)</c:formatCode>
                <c:ptCount val="10"/>
                <c:pt idx="0">
                  <c:v>-105</c:v>
                </c:pt>
                <c:pt idx="1">
                  <c:v>-185.5</c:v>
                </c:pt>
                <c:pt idx="2">
                  <c:v>13.729956952000009</c:v>
                </c:pt>
                <c:pt idx="3">
                  <c:v>132.37040991189997</c:v>
                </c:pt>
                <c:pt idx="4">
                  <c:v>86.706989357800012</c:v>
                </c:pt>
                <c:pt idx="5">
                  <c:v>108.4310728774</c:v>
                </c:pt>
                <c:pt idx="6">
                  <c:v>90.914823237700034</c:v>
                </c:pt>
                <c:pt idx="7">
                  <c:v>90.484573837700026</c:v>
                </c:pt>
                <c:pt idx="8">
                  <c:v>35.997110893999995</c:v>
                </c:pt>
                <c:pt idx="9">
                  <c:v>-45</c:v>
                </c:pt>
              </c:numCache>
            </c:numRef>
          </c:val>
          <c:extLst>
            <c:ext xmlns:c16="http://schemas.microsoft.com/office/drawing/2014/chart" uri="{C3380CC4-5D6E-409C-BE32-E72D297353CC}">
              <c16:uniqueId val="{00000000-480D-446A-B495-436643E4DC87}"/>
            </c:ext>
          </c:extLst>
        </c:ser>
        <c:dLbls>
          <c:showLegendKey val="0"/>
          <c:showVal val="0"/>
          <c:showCatName val="0"/>
          <c:showSerName val="0"/>
          <c:showPercent val="0"/>
          <c:showBubbleSize val="0"/>
        </c:dLbls>
        <c:gapWidth val="0"/>
        <c:overlap val="100"/>
        <c:axId val="275021336"/>
        <c:axId val="277108728"/>
      </c:barChart>
      <c:lineChart>
        <c:grouping val="standard"/>
        <c:varyColors val="0"/>
        <c:ser>
          <c:idx val="1"/>
          <c:order val="1"/>
          <c:tx>
            <c:strRef>
              <c:f>'preliminary business case'!$A$215</c:f>
              <c:strCache>
                <c:ptCount val="1"/>
                <c:pt idx="0">
                  <c:v>Net Cash Generation- Cumulative</c:v>
                </c:pt>
              </c:strCache>
            </c:strRef>
          </c:tx>
          <c:spPr>
            <a:ln w="28575">
              <a:solidFill>
                <a:srgbClr val="92D050"/>
              </a:solidFill>
            </a:ln>
          </c:spPr>
          <c:marker>
            <c:symbol val="none"/>
          </c:marker>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case'!$D$215:$M$215</c:f>
              <c:numCache>
                <c:formatCode>#,##0_);[Red]\(#,##0\)</c:formatCode>
                <c:ptCount val="10"/>
                <c:pt idx="0">
                  <c:v>-105</c:v>
                </c:pt>
                <c:pt idx="1">
                  <c:v>-290.5</c:v>
                </c:pt>
                <c:pt idx="2">
                  <c:v>-276.77004304799999</c:v>
                </c:pt>
                <c:pt idx="3">
                  <c:v>-144.39963313610002</c:v>
                </c:pt>
                <c:pt idx="4">
                  <c:v>-57.69264377830001</c:v>
                </c:pt>
                <c:pt idx="5">
                  <c:v>50.738429099099989</c:v>
                </c:pt>
                <c:pt idx="6">
                  <c:v>141.65325233680002</c:v>
                </c:pt>
                <c:pt idx="7">
                  <c:v>232.13782617450005</c:v>
                </c:pt>
                <c:pt idx="8">
                  <c:v>268.13493706850005</c:v>
                </c:pt>
                <c:pt idx="9">
                  <c:v>223.13493706850005</c:v>
                </c:pt>
              </c:numCache>
            </c:numRef>
          </c:val>
          <c:smooth val="0"/>
          <c:extLst>
            <c:ext xmlns:c16="http://schemas.microsoft.com/office/drawing/2014/chart" uri="{C3380CC4-5D6E-409C-BE32-E72D297353CC}">
              <c16:uniqueId val="{00000001-480D-446A-B495-436643E4DC87}"/>
            </c:ext>
          </c:extLst>
        </c:ser>
        <c:dLbls>
          <c:showLegendKey val="0"/>
          <c:showVal val="0"/>
          <c:showCatName val="0"/>
          <c:showSerName val="0"/>
          <c:showPercent val="0"/>
          <c:showBubbleSize val="0"/>
        </c:dLbls>
        <c:marker val="1"/>
        <c:smooth val="0"/>
        <c:axId val="275021336"/>
        <c:axId val="277108728"/>
      </c:lineChart>
      <c:catAx>
        <c:axId val="275021336"/>
        <c:scaling>
          <c:orientation val="minMax"/>
        </c:scaling>
        <c:delete val="0"/>
        <c:axPos val="b"/>
        <c:numFmt formatCode="0" sourceLinked="1"/>
        <c:majorTickMark val="out"/>
        <c:minorTickMark val="none"/>
        <c:tickLblPos val="nextTo"/>
        <c:txPr>
          <a:bodyPr/>
          <a:lstStyle/>
          <a:p>
            <a:pPr>
              <a:defRPr sz="1000" b="0"/>
            </a:pPr>
            <a:endParaRPr lang="en-US"/>
          </a:p>
        </c:txPr>
        <c:crossAx val="277108728"/>
        <c:crosses val="autoZero"/>
        <c:auto val="1"/>
        <c:lblAlgn val="ctr"/>
        <c:lblOffset val="100"/>
        <c:noMultiLvlLbl val="0"/>
      </c:catAx>
      <c:valAx>
        <c:axId val="277108728"/>
        <c:scaling>
          <c:orientation val="minMax"/>
        </c:scaling>
        <c:delete val="0"/>
        <c:axPos val="l"/>
        <c:majorGridlines/>
        <c:title>
          <c:tx>
            <c:rich>
              <a:bodyPr rot="-5400000" vert="horz"/>
              <a:lstStyle/>
              <a:p>
                <a:pPr>
                  <a:defRPr sz="1200"/>
                </a:pPr>
                <a:r>
                  <a:rPr lang="en-US" sz="1200"/>
                  <a:t>US$M</a:t>
                </a:r>
              </a:p>
            </c:rich>
          </c:tx>
          <c:layout>
            <c:manualLayout>
              <c:xMode val="edge"/>
              <c:yMode val="edge"/>
              <c:x val="8.0550699476549317E-3"/>
              <c:y val="0.40417365862054128"/>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b"/>
      <c:layout>
        <c:manualLayout>
          <c:xMode val="edge"/>
          <c:yMode val="edge"/>
          <c:x val="2.3239789831465876E-2"/>
          <c:y val="0.77647193534235981"/>
          <c:w val="0.94215320487536447"/>
          <c:h val="0.20120928226747858"/>
        </c:manualLayout>
      </c:layout>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Anatomy of the Business: Four Cash Streams</a:t>
            </a:r>
          </a:p>
        </c:rich>
      </c:tx>
      <c:layout>
        <c:manualLayout>
          <c:xMode val="edge"/>
          <c:yMode val="edge"/>
          <c:x val="0.14220241884150223"/>
          <c:y val="5.4781344639612359E-2"/>
        </c:manualLayout>
      </c:layout>
      <c:overlay val="1"/>
    </c:title>
    <c:autoTitleDeleted val="0"/>
    <c:plotArea>
      <c:layout>
        <c:manualLayout>
          <c:layoutTarget val="inner"/>
          <c:xMode val="edge"/>
          <c:yMode val="edge"/>
          <c:x val="0.1320725552208584"/>
          <c:y val="5.4104549431321078E-2"/>
          <c:w val="0.84981174115825453"/>
          <c:h val="0.67680641806566622"/>
        </c:manualLayout>
      </c:layout>
      <c:barChart>
        <c:barDir val="col"/>
        <c:grouping val="stacked"/>
        <c:varyColors val="0"/>
        <c:ser>
          <c:idx val="0"/>
          <c:order val="0"/>
          <c:tx>
            <c:strRef>
              <c:f>'preliminary business case'!$A$232</c:f>
              <c:strCache>
                <c:ptCount val="1"/>
                <c:pt idx="0">
                  <c:v>Cashstream 2: Capital Costs</c:v>
                </c:pt>
              </c:strCache>
            </c:strRef>
          </c:tx>
          <c:spPr>
            <a:solidFill>
              <a:srgbClr val="00B0F0"/>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case'!$D$232:$M$232</c:f>
              <c:numCache>
                <c:formatCode>#,##0</c:formatCode>
                <c:ptCount val="10"/>
                <c:pt idx="0">
                  <c:v>-105</c:v>
                </c:pt>
                <c:pt idx="1">
                  <c:v>-175</c:v>
                </c:pt>
                <c:pt idx="2">
                  <c:v>-14</c:v>
                </c:pt>
                <c:pt idx="3">
                  <c:v>-14</c:v>
                </c:pt>
                <c:pt idx="4">
                  <c:v>-14</c:v>
                </c:pt>
                <c:pt idx="5">
                  <c:v>-14</c:v>
                </c:pt>
                <c:pt idx="6">
                  <c:v>-14</c:v>
                </c:pt>
                <c:pt idx="7">
                  <c:v>-14</c:v>
                </c:pt>
                <c:pt idx="8">
                  <c:v>-14</c:v>
                </c:pt>
                <c:pt idx="9">
                  <c:v>0</c:v>
                </c:pt>
              </c:numCache>
            </c:numRef>
          </c:val>
          <c:extLst>
            <c:ext xmlns:c16="http://schemas.microsoft.com/office/drawing/2014/chart" uri="{C3380CC4-5D6E-409C-BE32-E72D297353CC}">
              <c16:uniqueId val="{00000000-ABA1-48C2-B95B-8F020840DA65}"/>
            </c:ext>
          </c:extLst>
        </c:ser>
        <c:ser>
          <c:idx val="1"/>
          <c:order val="1"/>
          <c:tx>
            <c:strRef>
              <c:f>'preliminary business case'!$A$233</c:f>
              <c:strCache>
                <c:ptCount val="1"/>
                <c:pt idx="0">
                  <c:v>Cashstream 3: Operating Costs</c:v>
                </c:pt>
              </c:strCache>
            </c:strRef>
          </c:tx>
          <c:spPr>
            <a:solidFill>
              <a:srgbClr val="FFFF00"/>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case'!$D$233:$M$233</c:f>
              <c:numCache>
                <c:formatCode>#,##0</c:formatCode>
                <c:ptCount val="10"/>
                <c:pt idx="0">
                  <c:v>0</c:v>
                </c:pt>
                <c:pt idx="1">
                  <c:v>-10.5</c:v>
                </c:pt>
                <c:pt idx="2">
                  <c:v>-63.303091719999991</c:v>
                </c:pt>
                <c:pt idx="3">
                  <c:v>-114.146209875</c:v>
                </c:pt>
                <c:pt idx="4">
                  <c:v>-109.50266469</c:v>
                </c:pt>
                <c:pt idx="5">
                  <c:v>-115.69405827000001</c:v>
                </c:pt>
                <c:pt idx="6">
                  <c:v>-105.80051308499999</c:v>
                </c:pt>
                <c:pt idx="7">
                  <c:v>-104.05051308499999</c:v>
                </c:pt>
                <c:pt idx="8">
                  <c:v>-41.114686090000006</c:v>
                </c:pt>
                <c:pt idx="9">
                  <c:v>-45</c:v>
                </c:pt>
              </c:numCache>
            </c:numRef>
          </c:val>
          <c:extLst>
            <c:ext xmlns:c16="http://schemas.microsoft.com/office/drawing/2014/chart" uri="{C3380CC4-5D6E-409C-BE32-E72D297353CC}">
              <c16:uniqueId val="{00000001-ABA1-48C2-B95B-8F020840DA65}"/>
            </c:ext>
          </c:extLst>
        </c:ser>
        <c:ser>
          <c:idx val="2"/>
          <c:order val="2"/>
          <c:tx>
            <c:strRef>
              <c:f>'preliminary business case'!$A$234</c:f>
              <c:strCache>
                <c:ptCount val="1"/>
                <c:pt idx="0">
                  <c:v>Cashstream 4: Taxes</c:v>
                </c:pt>
              </c:strCache>
            </c:strRef>
          </c:tx>
          <c:spPr>
            <a:solidFill>
              <a:srgbClr val="FF0000"/>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case'!$D$234:$M$234</c:f>
              <c:numCache>
                <c:formatCode>#,##0</c:formatCode>
                <c:ptCount val="10"/>
                <c:pt idx="0">
                  <c:v>0</c:v>
                </c:pt>
                <c:pt idx="1">
                  <c:v>0</c:v>
                </c:pt>
                <c:pt idx="2">
                  <c:v>-5.8106201280000001</c:v>
                </c:pt>
                <c:pt idx="3">
                  <c:v>-19.081775213099991</c:v>
                </c:pt>
                <c:pt idx="4">
                  <c:v>-35.836933552199994</c:v>
                </c:pt>
                <c:pt idx="5">
                  <c:v>-52.657199652599992</c:v>
                </c:pt>
                <c:pt idx="6">
                  <c:v>-46.515187077300013</c:v>
                </c:pt>
                <c:pt idx="7">
                  <c:v>-48.695436477300021</c:v>
                </c:pt>
                <c:pt idx="8">
                  <c:v>-5.8156466160000004</c:v>
                </c:pt>
                <c:pt idx="9">
                  <c:v>0</c:v>
                </c:pt>
              </c:numCache>
            </c:numRef>
          </c:val>
          <c:extLst>
            <c:ext xmlns:c16="http://schemas.microsoft.com/office/drawing/2014/chart" uri="{C3380CC4-5D6E-409C-BE32-E72D297353CC}">
              <c16:uniqueId val="{00000002-ABA1-48C2-B95B-8F020840DA65}"/>
            </c:ext>
          </c:extLst>
        </c:ser>
        <c:ser>
          <c:idx val="3"/>
          <c:order val="3"/>
          <c:tx>
            <c:strRef>
              <c:f>'preliminary business case'!$A$235</c:f>
              <c:strCache>
                <c:ptCount val="1"/>
                <c:pt idx="0">
                  <c:v>Cashflow if positive</c:v>
                </c:pt>
              </c:strCache>
            </c:strRef>
          </c:tx>
          <c:spPr>
            <a:solidFill>
              <a:srgbClr val="00CC00"/>
            </a:solidFill>
          </c:spPr>
          <c:invertIfNegative val="0"/>
          <c:val>
            <c:numRef>
              <c:f>'preliminary business case'!$D$235:$M$235</c:f>
              <c:numCache>
                <c:formatCode>#,##0</c:formatCode>
                <c:ptCount val="10"/>
                <c:pt idx="0">
                  <c:v>0</c:v>
                </c:pt>
                <c:pt idx="1">
                  <c:v>0</c:v>
                </c:pt>
                <c:pt idx="2">
                  <c:v>13.729956952000013</c:v>
                </c:pt>
                <c:pt idx="3">
                  <c:v>132.37040991189997</c:v>
                </c:pt>
                <c:pt idx="4">
                  <c:v>86.706989357800012</c:v>
                </c:pt>
                <c:pt idx="5">
                  <c:v>108.4310728774</c:v>
                </c:pt>
                <c:pt idx="6">
                  <c:v>90.914823237700048</c:v>
                </c:pt>
                <c:pt idx="7">
                  <c:v>90.48457383770004</c:v>
                </c:pt>
                <c:pt idx="8">
                  <c:v>35.997110893999995</c:v>
                </c:pt>
                <c:pt idx="9">
                  <c:v>0</c:v>
                </c:pt>
              </c:numCache>
            </c:numRef>
          </c:val>
          <c:extLst>
            <c:ext xmlns:c16="http://schemas.microsoft.com/office/drawing/2014/chart" uri="{C3380CC4-5D6E-409C-BE32-E72D297353CC}">
              <c16:uniqueId val="{00000003-ABA1-48C2-B95B-8F020840DA65}"/>
            </c:ext>
          </c:extLst>
        </c:ser>
        <c:ser>
          <c:idx val="4"/>
          <c:order val="4"/>
          <c:tx>
            <c:strRef>
              <c:f>'preliminary business case'!$A$236</c:f>
              <c:strCache>
                <c:ptCount val="1"/>
                <c:pt idx="0">
                  <c:v>Cashflow if in Deficit</c:v>
                </c:pt>
              </c:strCache>
            </c:strRef>
          </c:tx>
          <c:spPr>
            <a:noFill/>
            <a:ln w="22225">
              <a:solidFill>
                <a:srgbClr val="FF0000"/>
              </a:solidFill>
              <a:prstDash val="dash"/>
            </a:ln>
          </c:spPr>
          <c:invertIfNegative val="0"/>
          <c:val>
            <c:numRef>
              <c:f>'preliminary business case'!$D$236:$M$236</c:f>
              <c:numCache>
                <c:formatCode>#,##0</c:formatCode>
                <c:ptCount val="10"/>
                <c:pt idx="0">
                  <c:v>105</c:v>
                </c:pt>
                <c:pt idx="1">
                  <c:v>185.5</c:v>
                </c:pt>
                <c:pt idx="2">
                  <c:v>0</c:v>
                </c:pt>
                <c:pt idx="3">
                  <c:v>0</c:v>
                </c:pt>
                <c:pt idx="4">
                  <c:v>0</c:v>
                </c:pt>
                <c:pt idx="5">
                  <c:v>0</c:v>
                </c:pt>
                <c:pt idx="6">
                  <c:v>0</c:v>
                </c:pt>
                <c:pt idx="7">
                  <c:v>0</c:v>
                </c:pt>
                <c:pt idx="8">
                  <c:v>0</c:v>
                </c:pt>
                <c:pt idx="9">
                  <c:v>45</c:v>
                </c:pt>
              </c:numCache>
            </c:numRef>
          </c:val>
          <c:extLst>
            <c:ext xmlns:c16="http://schemas.microsoft.com/office/drawing/2014/chart" uri="{C3380CC4-5D6E-409C-BE32-E72D297353CC}">
              <c16:uniqueId val="{00000004-ABA1-48C2-B95B-8F020840DA65}"/>
            </c:ext>
          </c:extLst>
        </c:ser>
        <c:dLbls>
          <c:showLegendKey val="0"/>
          <c:showVal val="0"/>
          <c:showCatName val="0"/>
          <c:showSerName val="0"/>
          <c:showPercent val="0"/>
          <c:showBubbleSize val="0"/>
        </c:dLbls>
        <c:gapWidth val="0"/>
        <c:overlap val="100"/>
        <c:axId val="275025648"/>
        <c:axId val="275026432"/>
      </c:barChart>
      <c:catAx>
        <c:axId val="275025648"/>
        <c:scaling>
          <c:orientation val="minMax"/>
        </c:scaling>
        <c:delete val="0"/>
        <c:axPos val="b"/>
        <c:numFmt formatCode="0" sourceLinked="1"/>
        <c:majorTickMark val="out"/>
        <c:minorTickMark val="none"/>
        <c:tickLblPos val="nextTo"/>
        <c:txPr>
          <a:bodyPr/>
          <a:lstStyle/>
          <a:p>
            <a:pPr>
              <a:defRPr sz="1000"/>
            </a:pPr>
            <a:endParaRPr lang="en-US"/>
          </a:p>
        </c:txPr>
        <c:crossAx val="275026432"/>
        <c:crosses val="autoZero"/>
        <c:auto val="1"/>
        <c:lblAlgn val="ctr"/>
        <c:lblOffset val="100"/>
        <c:noMultiLvlLbl val="0"/>
      </c:catAx>
      <c:valAx>
        <c:axId val="275026432"/>
        <c:scaling>
          <c:orientation val="minMax"/>
        </c:scaling>
        <c:delete val="0"/>
        <c:axPos val="l"/>
        <c:majorGridlines/>
        <c:title>
          <c:tx>
            <c:rich>
              <a:bodyPr rot="-5400000" vert="horz"/>
              <a:lstStyle/>
              <a:p>
                <a:pPr>
                  <a:defRPr sz="1200" b="1"/>
                </a:pPr>
                <a:r>
                  <a:rPr lang="en-US" sz="1200" b="1"/>
                  <a:t>US$M</a:t>
                </a:r>
              </a:p>
            </c:rich>
          </c:tx>
          <c:layout>
            <c:manualLayout>
              <c:xMode val="edge"/>
              <c:yMode val="edge"/>
              <c:x val="1.8914892452981058E-2"/>
              <c:y val="0.30958490566037739"/>
            </c:manualLayout>
          </c:layout>
          <c:overlay val="0"/>
        </c:title>
        <c:numFmt formatCode="#,##0" sourceLinked="0"/>
        <c:majorTickMark val="out"/>
        <c:minorTickMark val="none"/>
        <c:tickLblPos val="nextTo"/>
        <c:txPr>
          <a:bodyPr/>
          <a:lstStyle/>
          <a:p>
            <a:pPr>
              <a:defRPr sz="1000" b="0" baseline="0"/>
            </a:pPr>
            <a:endParaRPr lang="en-US"/>
          </a:p>
        </c:txPr>
        <c:crossAx val="275025648"/>
        <c:crosses val="autoZero"/>
        <c:crossBetween val="between"/>
      </c:valAx>
    </c:plotArea>
    <c:legend>
      <c:legendPos val="b"/>
      <c:layout>
        <c:manualLayout>
          <c:xMode val="edge"/>
          <c:yMode val="edge"/>
          <c:x val="5.0553986095249548E-3"/>
          <c:y val="0.76121423346671835"/>
          <c:w val="0.99042838483052786"/>
          <c:h val="0.23729530035160698"/>
        </c:manualLayout>
      </c:layout>
      <c:overlay val="0"/>
      <c:spPr>
        <a:solidFill>
          <a:schemeClr val="bg1"/>
        </a:solidFill>
      </c:spPr>
      <c:txPr>
        <a:bodyPr/>
        <a:lstStyle/>
        <a:p>
          <a:pPr>
            <a:defRPr sz="1000" b="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Production</a:t>
            </a:r>
          </a:p>
        </c:rich>
      </c:tx>
      <c:layout>
        <c:manualLayout>
          <c:xMode val="edge"/>
          <c:yMode val="edge"/>
          <c:x val="0.17632566845478975"/>
          <c:y val="1.8805369916995669E-2"/>
        </c:manualLayout>
      </c:layout>
      <c:overlay val="1"/>
    </c:title>
    <c:autoTitleDeleted val="0"/>
    <c:plotArea>
      <c:layout>
        <c:manualLayout>
          <c:layoutTarget val="inner"/>
          <c:xMode val="edge"/>
          <c:yMode val="edge"/>
          <c:x val="0.1639804730504478"/>
          <c:y val="4.101253002122035E-2"/>
          <c:w val="0.67427765053271527"/>
          <c:h val="0.5949617608391411"/>
        </c:manualLayout>
      </c:layout>
      <c:barChart>
        <c:barDir val="col"/>
        <c:grouping val="stacked"/>
        <c:varyColors val="0"/>
        <c:ser>
          <c:idx val="0"/>
          <c:order val="0"/>
          <c:tx>
            <c:strRef>
              <c:f>'preliminary business case'!$A$81</c:f>
              <c:strCache>
                <c:ptCount val="1"/>
                <c:pt idx="0">
                  <c:v>Ore mined</c:v>
                </c:pt>
              </c:strCache>
            </c:strRef>
          </c:tx>
          <c:spPr>
            <a:solidFill>
              <a:schemeClr val="accent6">
                <a:lumMod val="75000"/>
              </a:schemeClr>
            </a:solidFill>
            <a:ln w="76200">
              <a:noFill/>
            </a:ln>
          </c:spPr>
          <c:invertIfNegative val="0"/>
          <c:cat>
            <c:numRef>
              <c:f>'preliminary business case'!$D$230:$M$230</c:f>
              <c:numCache>
                <c:formatCode>General</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case'!$D$81:$M$81</c:f>
              <c:numCache>
                <c:formatCode>#,##0</c:formatCode>
                <c:ptCount val="10"/>
                <c:pt idx="2">
                  <c:v>800</c:v>
                </c:pt>
                <c:pt idx="3">
                  <c:v>1500</c:v>
                </c:pt>
                <c:pt idx="4">
                  <c:v>1500</c:v>
                </c:pt>
                <c:pt idx="5">
                  <c:v>1500</c:v>
                </c:pt>
                <c:pt idx="6">
                  <c:v>1500</c:v>
                </c:pt>
                <c:pt idx="7">
                  <c:v>1500</c:v>
                </c:pt>
                <c:pt idx="8">
                  <c:v>500</c:v>
                </c:pt>
              </c:numCache>
            </c:numRef>
          </c:val>
          <c:extLst>
            <c:ext xmlns:c16="http://schemas.microsoft.com/office/drawing/2014/chart" uri="{C3380CC4-5D6E-409C-BE32-E72D297353CC}">
              <c16:uniqueId val="{00000000-A3B7-4D9D-A287-CD6A389EC0A4}"/>
            </c:ext>
          </c:extLst>
        </c:ser>
        <c:ser>
          <c:idx val="2"/>
          <c:order val="2"/>
          <c:tx>
            <c:strRef>
              <c:f>'preliminary business case'!$A$80</c:f>
              <c:strCache>
                <c:ptCount val="1"/>
                <c:pt idx="0">
                  <c:v>Waste removed</c:v>
                </c:pt>
              </c:strCache>
            </c:strRef>
          </c:tx>
          <c:spPr>
            <a:solidFill>
              <a:schemeClr val="accent6">
                <a:lumMod val="60000"/>
                <a:lumOff val="40000"/>
              </a:schemeClr>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case'!$D$80:$M$80</c:f>
              <c:numCache>
                <c:formatCode>#,##0</c:formatCode>
                <c:ptCount val="10"/>
                <c:pt idx="1">
                  <c:v>3000</c:v>
                </c:pt>
                <c:pt idx="2">
                  <c:v>3000</c:v>
                </c:pt>
                <c:pt idx="3">
                  <c:v>2500</c:v>
                </c:pt>
                <c:pt idx="4">
                  <c:v>2500</c:v>
                </c:pt>
                <c:pt idx="5">
                  <c:v>2500</c:v>
                </c:pt>
                <c:pt idx="6">
                  <c:v>1000</c:v>
                </c:pt>
                <c:pt idx="7">
                  <c:v>500</c:v>
                </c:pt>
              </c:numCache>
            </c:numRef>
          </c:val>
          <c:extLst>
            <c:ext xmlns:c16="http://schemas.microsoft.com/office/drawing/2014/chart" uri="{C3380CC4-5D6E-409C-BE32-E72D297353CC}">
              <c16:uniqueId val="{00000001-A3B7-4D9D-A287-CD6A389EC0A4}"/>
            </c:ext>
          </c:extLst>
        </c:ser>
        <c:dLbls>
          <c:showLegendKey val="0"/>
          <c:showVal val="0"/>
          <c:showCatName val="0"/>
          <c:showSerName val="0"/>
          <c:showPercent val="0"/>
          <c:showBubbleSize val="0"/>
        </c:dLbls>
        <c:gapWidth val="10"/>
        <c:overlap val="100"/>
        <c:axId val="275019768"/>
        <c:axId val="275020160"/>
      </c:barChart>
      <c:lineChart>
        <c:grouping val="standard"/>
        <c:varyColors val="0"/>
        <c:ser>
          <c:idx val="1"/>
          <c:order val="1"/>
          <c:tx>
            <c:strRef>
              <c:f>'preliminary business case'!$A$82</c:f>
              <c:strCache>
                <c:ptCount val="1"/>
                <c:pt idx="0">
                  <c:v>Head Grade - acid soluble copper </c:v>
                </c:pt>
              </c:strCache>
            </c:strRef>
          </c:tx>
          <c:spPr>
            <a:ln>
              <a:solidFill>
                <a:srgbClr val="00CC00">
                  <a:alpha val="98000"/>
                </a:srgbClr>
              </a:solidFill>
            </a:ln>
          </c:spPr>
          <c:marker>
            <c:symbol val="none"/>
          </c:marker>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case'!$D$82:$M$82</c:f>
              <c:numCache>
                <c:formatCode>0.0%</c:formatCode>
                <c:ptCount val="10"/>
                <c:pt idx="2">
                  <c:v>1.7000000000000001E-2</c:v>
                </c:pt>
                <c:pt idx="3">
                  <c:v>2.5000000000000001E-2</c:v>
                </c:pt>
                <c:pt idx="4">
                  <c:v>2.1999999999999999E-2</c:v>
                </c:pt>
                <c:pt idx="5">
                  <c:v>2.5999999999999999E-2</c:v>
                </c:pt>
                <c:pt idx="6">
                  <c:v>2.3E-2</c:v>
                </c:pt>
                <c:pt idx="7">
                  <c:v>2.3E-2</c:v>
                </c:pt>
                <c:pt idx="8">
                  <c:v>2.5999999999999999E-2</c:v>
                </c:pt>
              </c:numCache>
            </c:numRef>
          </c:val>
          <c:smooth val="0"/>
          <c:extLst>
            <c:ext xmlns:c16="http://schemas.microsoft.com/office/drawing/2014/chart" uri="{C3380CC4-5D6E-409C-BE32-E72D297353CC}">
              <c16:uniqueId val="{00000002-A3B7-4D9D-A287-CD6A389EC0A4}"/>
            </c:ext>
          </c:extLst>
        </c:ser>
        <c:dLbls>
          <c:showLegendKey val="0"/>
          <c:showVal val="0"/>
          <c:showCatName val="0"/>
          <c:showSerName val="0"/>
          <c:showPercent val="0"/>
          <c:showBubbleSize val="0"/>
        </c:dLbls>
        <c:marker val="1"/>
        <c:smooth val="0"/>
        <c:axId val="275021728"/>
        <c:axId val="275027216"/>
      </c:lineChart>
      <c:catAx>
        <c:axId val="275019768"/>
        <c:scaling>
          <c:orientation val="minMax"/>
        </c:scaling>
        <c:delete val="0"/>
        <c:axPos val="b"/>
        <c:numFmt formatCode="General" sourceLinked="1"/>
        <c:majorTickMark val="out"/>
        <c:minorTickMark val="none"/>
        <c:tickLblPos val="nextTo"/>
        <c:txPr>
          <a:bodyPr/>
          <a:lstStyle/>
          <a:p>
            <a:pPr>
              <a:defRPr sz="1100" b="0"/>
            </a:pPr>
            <a:endParaRPr lang="en-US"/>
          </a:p>
        </c:txPr>
        <c:crossAx val="275020160"/>
        <c:crosses val="autoZero"/>
        <c:auto val="1"/>
        <c:lblAlgn val="ctr"/>
        <c:lblOffset val="100"/>
        <c:noMultiLvlLbl val="0"/>
      </c:catAx>
      <c:valAx>
        <c:axId val="275020160"/>
        <c:scaling>
          <c:orientation val="minMax"/>
        </c:scaling>
        <c:delete val="0"/>
        <c:axPos val="l"/>
        <c:majorGridlines/>
        <c:title>
          <c:tx>
            <c:rich>
              <a:bodyPr rot="-5400000" vert="horz"/>
              <a:lstStyle/>
              <a:p>
                <a:pPr>
                  <a:defRPr sz="1200" b="1">
                    <a:solidFill>
                      <a:schemeClr val="accent6">
                        <a:lumMod val="75000"/>
                      </a:schemeClr>
                    </a:solidFill>
                  </a:defRPr>
                </a:pPr>
                <a:r>
                  <a:rPr lang="en-US" sz="1200" b="1">
                    <a:solidFill>
                      <a:schemeClr val="accent6">
                        <a:lumMod val="75000"/>
                      </a:schemeClr>
                    </a:solidFill>
                  </a:rPr>
                  <a:t>Mined - 000 tonnes</a:t>
                </a:r>
              </a:p>
            </c:rich>
          </c:tx>
          <c:layout>
            <c:manualLayout>
              <c:xMode val="edge"/>
              <c:yMode val="edge"/>
              <c:x val="1.9784615428198298E-2"/>
              <c:y val="0.10173581559284328"/>
            </c:manualLayout>
          </c:layout>
          <c:overlay val="0"/>
        </c:title>
        <c:numFmt formatCode="#,##0" sourceLinked="1"/>
        <c:majorTickMark val="out"/>
        <c:minorTickMark val="none"/>
        <c:tickLblPos val="nextTo"/>
        <c:txPr>
          <a:bodyPr/>
          <a:lstStyle/>
          <a:p>
            <a:pPr>
              <a:defRPr sz="1000" b="1">
                <a:solidFill>
                  <a:schemeClr val="accent6">
                    <a:lumMod val="75000"/>
                  </a:schemeClr>
                </a:solidFill>
              </a:defRPr>
            </a:pPr>
            <a:endParaRPr lang="en-US"/>
          </a:p>
        </c:txPr>
        <c:crossAx val="275019768"/>
        <c:crosses val="autoZero"/>
        <c:crossBetween val="between"/>
      </c:valAx>
      <c:catAx>
        <c:axId val="275021728"/>
        <c:scaling>
          <c:orientation val="minMax"/>
        </c:scaling>
        <c:delete val="1"/>
        <c:axPos val="b"/>
        <c:numFmt formatCode="0" sourceLinked="1"/>
        <c:majorTickMark val="out"/>
        <c:minorTickMark val="none"/>
        <c:tickLblPos val="nextTo"/>
        <c:crossAx val="275027216"/>
        <c:crosses val="autoZero"/>
        <c:auto val="1"/>
        <c:lblAlgn val="ctr"/>
        <c:lblOffset val="100"/>
        <c:noMultiLvlLbl val="0"/>
      </c:catAx>
      <c:valAx>
        <c:axId val="275027216"/>
        <c:scaling>
          <c:orientation val="minMax"/>
        </c:scaling>
        <c:delete val="0"/>
        <c:axPos val="r"/>
        <c:title>
          <c:tx>
            <c:rich>
              <a:bodyPr rot="-5400000" vert="horz"/>
              <a:lstStyle/>
              <a:p>
                <a:pPr>
                  <a:defRPr sz="1200">
                    <a:solidFill>
                      <a:srgbClr val="009900"/>
                    </a:solidFill>
                  </a:defRPr>
                </a:pPr>
                <a:r>
                  <a:rPr lang="en-US" sz="1200">
                    <a:solidFill>
                      <a:srgbClr val="009900"/>
                    </a:solidFill>
                  </a:rPr>
                  <a:t>Head Grade % A.S. Copper</a:t>
                </a:r>
              </a:p>
            </c:rich>
          </c:tx>
          <c:layout>
            <c:manualLayout>
              <c:xMode val="edge"/>
              <c:yMode val="edge"/>
              <c:x val="0.90310938631421922"/>
              <c:y val="4.6279545203249367E-2"/>
            </c:manualLayout>
          </c:layout>
          <c:overlay val="0"/>
        </c:title>
        <c:numFmt formatCode="0%" sourceLinked="0"/>
        <c:majorTickMark val="out"/>
        <c:minorTickMark val="none"/>
        <c:tickLblPos val="nextTo"/>
        <c:txPr>
          <a:bodyPr/>
          <a:lstStyle/>
          <a:p>
            <a:pPr>
              <a:defRPr sz="1100" b="1" baseline="0">
                <a:solidFill>
                  <a:srgbClr val="009900"/>
                </a:solidFill>
              </a:defRPr>
            </a:pPr>
            <a:endParaRPr lang="en-US"/>
          </a:p>
        </c:txPr>
        <c:crossAx val="275021728"/>
        <c:crosses val="max"/>
        <c:crossBetween val="between"/>
      </c:valAx>
    </c:plotArea>
    <c:legend>
      <c:legendPos val="b"/>
      <c:layout>
        <c:manualLayout>
          <c:xMode val="edge"/>
          <c:yMode val="edge"/>
          <c:x val="1.9826379043339806E-2"/>
          <c:y val="0.74813240137639381"/>
          <c:w val="0.93954573545342845"/>
          <c:h val="0.23959191926063234"/>
        </c:manualLayout>
      </c:layout>
      <c:overlay val="0"/>
      <c:txPr>
        <a:bodyPr/>
        <a:lstStyle/>
        <a:p>
          <a:pPr>
            <a:defRPr sz="1050" b="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NPV </a:t>
            </a:r>
            <a:r>
              <a:rPr lang="en-US" sz="1200" b="0"/>
              <a:t>(Net Present Value)</a:t>
            </a:r>
            <a:r>
              <a:rPr lang="en-US" sz="1200"/>
              <a:t> </a:t>
            </a:r>
            <a:endParaRPr lang="en-US" sz="1600"/>
          </a:p>
        </c:rich>
      </c:tx>
      <c:layout>
        <c:manualLayout>
          <c:xMode val="edge"/>
          <c:yMode val="edge"/>
          <c:x val="0.23432905532477732"/>
          <c:y val="6.7057875912294757E-2"/>
        </c:manualLayout>
      </c:layout>
      <c:overlay val="0"/>
    </c:title>
    <c:autoTitleDeleted val="0"/>
    <c:plotArea>
      <c:layout>
        <c:manualLayout>
          <c:layoutTarget val="inner"/>
          <c:xMode val="edge"/>
          <c:yMode val="edge"/>
          <c:x val="0.13540304503357198"/>
          <c:y val="7.4585647497187851E-2"/>
          <c:w val="0.83270244196888132"/>
          <c:h val="0.72019562007874016"/>
        </c:manualLayout>
      </c:layout>
      <c:barChart>
        <c:barDir val="col"/>
        <c:grouping val="stacked"/>
        <c:varyColors val="0"/>
        <c:ser>
          <c:idx val="0"/>
          <c:order val="0"/>
          <c:tx>
            <c:strRef>
              <c:f>'preliminary business case'!$A$225</c:f>
              <c:strCache>
                <c:ptCount val="1"/>
                <c:pt idx="0">
                  <c:v>Discounted Cashflow - Annually</c:v>
                </c:pt>
              </c:strCache>
            </c:strRef>
          </c:tx>
          <c:spPr>
            <a:solidFill>
              <a:schemeClr val="accent6">
                <a:lumMod val="20000"/>
                <a:lumOff val="80000"/>
              </a:schemeClr>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case'!$D$225:$M$225</c:f>
              <c:numCache>
                <c:formatCode>#,##0_);[Red]\(#,##0\)</c:formatCode>
                <c:ptCount val="10"/>
                <c:pt idx="0">
                  <c:v>-101.0362971081845</c:v>
                </c:pt>
                <c:pt idx="1">
                  <c:v>-165.27542428190671</c:v>
                </c:pt>
                <c:pt idx="2">
                  <c:v>11.32686662979992</c:v>
                </c:pt>
                <c:pt idx="3">
                  <c:v>101.11318009642484</c:v>
                </c:pt>
                <c:pt idx="4">
                  <c:v>61.326362700201344</c:v>
                </c:pt>
                <c:pt idx="5">
                  <c:v>71.010586519958963</c:v>
                </c:pt>
                <c:pt idx="6">
                  <c:v>55.129021992778675</c:v>
                </c:pt>
                <c:pt idx="7">
                  <c:v>50.803821230270856</c:v>
                </c:pt>
                <c:pt idx="8">
                  <c:v>18.713961183094906</c:v>
                </c:pt>
                <c:pt idx="9">
                  <c:v>-21.661415687638502</c:v>
                </c:pt>
              </c:numCache>
            </c:numRef>
          </c:val>
          <c:extLst>
            <c:ext xmlns:c16="http://schemas.microsoft.com/office/drawing/2014/chart" uri="{C3380CC4-5D6E-409C-BE32-E72D297353CC}">
              <c16:uniqueId val="{00000000-E65F-4168-BC07-738E35B81955}"/>
            </c:ext>
          </c:extLst>
        </c:ser>
        <c:dLbls>
          <c:showLegendKey val="0"/>
          <c:showVal val="0"/>
          <c:showCatName val="0"/>
          <c:showSerName val="0"/>
          <c:showPercent val="0"/>
          <c:showBubbleSize val="0"/>
        </c:dLbls>
        <c:gapWidth val="0"/>
        <c:overlap val="100"/>
        <c:axId val="275021336"/>
        <c:axId val="277108728"/>
      </c:barChart>
      <c:lineChart>
        <c:grouping val="standard"/>
        <c:varyColors val="0"/>
        <c:ser>
          <c:idx val="1"/>
          <c:order val="1"/>
          <c:tx>
            <c:strRef>
              <c:f>'preliminary business case'!$A$226</c:f>
              <c:strCache>
                <c:ptCount val="1"/>
                <c:pt idx="0">
                  <c:v>Discounted Cashflow - Cumulative (NPV)</c:v>
                </c:pt>
              </c:strCache>
            </c:strRef>
          </c:tx>
          <c:spPr>
            <a:ln w="22225">
              <a:solidFill>
                <a:schemeClr val="accent6">
                  <a:lumMod val="75000"/>
                </a:schemeClr>
              </a:solidFill>
            </a:ln>
          </c:spPr>
          <c:marker>
            <c:symbol val="none"/>
          </c:marker>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case'!$D$226:$M$226</c:f>
              <c:numCache>
                <c:formatCode>#,##0_);[Red]\(#,##0\)</c:formatCode>
                <c:ptCount val="10"/>
                <c:pt idx="0">
                  <c:v>-101.0362971081845</c:v>
                </c:pt>
                <c:pt idx="1">
                  <c:v>-266.31172139009118</c:v>
                </c:pt>
                <c:pt idx="2">
                  <c:v>-254.98485476029126</c:v>
                </c:pt>
                <c:pt idx="3">
                  <c:v>-153.87167466386643</c:v>
                </c:pt>
                <c:pt idx="4">
                  <c:v>-92.545311963665085</c:v>
                </c:pt>
                <c:pt idx="5">
                  <c:v>-21.534725443706122</c:v>
                </c:pt>
                <c:pt idx="6">
                  <c:v>33.594296549072553</c:v>
                </c:pt>
                <c:pt idx="7">
                  <c:v>84.398117779343409</c:v>
                </c:pt>
                <c:pt idx="8">
                  <c:v>103.11207896243832</c:v>
                </c:pt>
                <c:pt idx="9">
                  <c:v>81.450663274799808</c:v>
                </c:pt>
              </c:numCache>
            </c:numRef>
          </c:val>
          <c:smooth val="0"/>
          <c:extLst>
            <c:ext xmlns:c16="http://schemas.microsoft.com/office/drawing/2014/chart" uri="{C3380CC4-5D6E-409C-BE32-E72D297353CC}">
              <c16:uniqueId val="{00000001-E65F-4168-BC07-738E35B81955}"/>
            </c:ext>
          </c:extLst>
        </c:ser>
        <c:dLbls>
          <c:showLegendKey val="0"/>
          <c:showVal val="0"/>
          <c:showCatName val="0"/>
          <c:showSerName val="0"/>
          <c:showPercent val="0"/>
          <c:showBubbleSize val="0"/>
        </c:dLbls>
        <c:marker val="1"/>
        <c:smooth val="0"/>
        <c:axId val="275021336"/>
        <c:axId val="277108728"/>
      </c:lineChart>
      <c:catAx>
        <c:axId val="275021336"/>
        <c:scaling>
          <c:orientation val="minMax"/>
        </c:scaling>
        <c:delete val="0"/>
        <c:axPos val="b"/>
        <c:numFmt formatCode="0" sourceLinked="1"/>
        <c:majorTickMark val="out"/>
        <c:minorTickMark val="none"/>
        <c:tickLblPos val="nextTo"/>
        <c:txPr>
          <a:bodyPr/>
          <a:lstStyle/>
          <a:p>
            <a:pPr>
              <a:defRPr sz="1000" b="0"/>
            </a:pPr>
            <a:endParaRPr lang="en-US"/>
          </a:p>
        </c:txPr>
        <c:crossAx val="277108728"/>
        <c:crosses val="autoZero"/>
        <c:auto val="1"/>
        <c:lblAlgn val="ctr"/>
        <c:lblOffset val="100"/>
        <c:noMultiLvlLbl val="0"/>
      </c:catAx>
      <c:valAx>
        <c:axId val="277108728"/>
        <c:scaling>
          <c:orientation val="minMax"/>
        </c:scaling>
        <c:delete val="0"/>
        <c:axPos val="l"/>
        <c:majorGridlines/>
        <c:title>
          <c:tx>
            <c:rich>
              <a:bodyPr rot="-5400000" vert="horz"/>
              <a:lstStyle/>
              <a:p>
                <a:pPr>
                  <a:defRPr sz="1200"/>
                </a:pPr>
                <a:r>
                  <a:rPr lang="en-US" sz="1200"/>
                  <a:t>US$M</a:t>
                </a:r>
              </a:p>
            </c:rich>
          </c:tx>
          <c:layout>
            <c:manualLayout>
              <c:xMode val="edge"/>
              <c:yMode val="edge"/>
              <c:x val="8.0550699476549317E-3"/>
              <c:y val="0.40417365862054128"/>
            </c:manualLayout>
          </c:layout>
          <c:overlay val="0"/>
        </c:title>
        <c:numFmt formatCode="#,##0" sourceLinked="0"/>
        <c:majorTickMark val="out"/>
        <c:minorTickMark val="none"/>
        <c:tickLblPos val="nextTo"/>
        <c:txPr>
          <a:bodyPr/>
          <a:lstStyle/>
          <a:p>
            <a:pPr>
              <a:defRPr sz="1000" b="0"/>
            </a:pPr>
            <a:endParaRPr lang="en-US"/>
          </a:p>
        </c:txPr>
        <c:crossAx val="275021336"/>
        <c:crosses val="autoZero"/>
        <c:crossBetween val="between"/>
      </c:valAx>
    </c:plotArea>
    <c:legend>
      <c:legendPos val="b"/>
      <c:layout>
        <c:manualLayout>
          <c:xMode val="edge"/>
          <c:yMode val="edge"/>
          <c:x val="4.6904906117504544E-2"/>
          <c:y val="0.77640211965691786"/>
          <c:w val="0.94215320487536447"/>
          <c:h val="0.20120928226747858"/>
        </c:manualLayout>
      </c:layout>
      <c:overlay val="0"/>
      <c:txPr>
        <a:bodyPr/>
        <a:lstStyle/>
        <a:p>
          <a:pPr>
            <a:defRPr sz="1000" b="0" i="0"/>
          </a:pPr>
          <a:endParaRPr lang="en-US"/>
        </a:p>
      </c:txPr>
    </c:legend>
    <c:plotVisOnly val="1"/>
    <c:dispBlanksAs val="gap"/>
    <c:showDLblsOverMax val="0"/>
  </c:chart>
  <c:txPr>
    <a:bodyPr/>
    <a:lstStyle/>
    <a:p>
      <a:pPr algn="ctr">
        <a:defRPr lang="en-AU" sz="1600" b="1" i="0" u="none" strike="noStrike" kern="1200" baseline="0">
          <a:solidFill>
            <a:sysClr val="windowText" lastClr="000000"/>
          </a:solidFill>
          <a:latin typeface="+mn-lt"/>
          <a:ea typeface="+mn-ea"/>
          <a:cs typeface="+mn-cs"/>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Operating Costs</a:t>
            </a:r>
          </a:p>
        </c:rich>
      </c:tx>
      <c:layout>
        <c:manualLayout>
          <c:xMode val="edge"/>
          <c:yMode val="edge"/>
          <c:x val="0.15429025170870608"/>
          <c:y val="6.7402803397678401E-2"/>
        </c:manualLayout>
      </c:layout>
      <c:overlay val="1"/>
    </c:title>
    <c:autoTitleDeleted val="0"/>
    <c:plotArea>
      <c:layout>
        <c:manualLayout>
          <c:layoutTarget val="inner"/>
          <c:xMode val="edge"/>
          <c:yMode val="edge"/>
          <c:x val="0.14025593500907171"/>
          <c:y val="6.5512297073976863E-2"/>
          <c:w val="0.76747294726111848"/>
          <c:h val="0.61245722864865249"/>
        </c:manualLayout>
      </c:layout>
      <c:barChart>
        <c:barDir val="col"/>
        <c:grouping val="stacked"/>
        <c:varyColors val="0"/>
        <c:ser>
          <c:idx val="0"/>
          <c:order val="0"/>
          <c:tx>
            <c:strRef>
              <c:f>'preliminary business case'!$A$113</c:f>
              <c:strCache>
                <c:ptCount val="1"/>
                <c:pt idx="0">
                  <c:v>waste cost</c:v>
                </c:pt>
              </c:strCache>
            </c:strRef>
          </c:tx>
          <c:spPr>
            <a:solidFill>
              <a:schemeClr val="accent6">
                <a:lumMod val="75000"/>
              </a:schemeClr>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case'!$D$113:$M$113</c:f>
              <c:numCache>
                <c:formatCode>#,##0.0</c:formatCode>
                <c:ptCount val="10"/>
                <c:pt idx="0">
                  <c:v>0</c:v>
                </c:pt>
                <c:pt idx="1">
                  <c:v>7.5</c:v>
                </c:pt>
                <c:pt idx="2">
                  <c:v>7.5</c:v>
                </c:pt>
                <c:pt idx="3">
                  <c:v>6.25</c:v>
                </c:pt>
                <c:pt idx="4">
                  <c:v>6.25</c:v>
                </c:pt>
                <c:pt idx="5">
                  <c:v>6.25</c:v>
                </c:pt>
                <c:pt idx="6">
                  <c:v>2.5</c:v>
                </c:pt>
                <c:pt idx="7">
                  <c:v>1.25</c:v>
                </c:pt>
                <c:pt idx="8">
                  <c:v>0</c:v>
                </c:pt>
                <c:pt idx="9">
                  <c:v>0</c:v>
                </c:pt>
              </c:numCache>
            </c:numRef>
          </c:val>
          <c:extLst>
            <c:ext xmlns:c16="http://schemas.microsoft.com/office/drawing/2014/chart" uri="{C3380CC4-5D6E-409C-BE32-E72D297353CC}">
              <c16:uniqueId val="{00000000-CB77-4FF1-A731-A0F281AAB2D8}"/>
            </c:ext>
          </c:extLst>
        </c:ser>
        <c:ser>
          <c:idx val="2"/>
          <c:order val="1"/>
          <c:tx>
            <c:strRef>
              <c:f>'preliminary business case'!$A$116</c:f>
              <c:strCache>
                <c:ptCount val="1"/>
                <c:pt idx="0">
                  <c:v>ore cost</c:v>
                </c:pt>
              </c:strCache>
            </c:strRef>
          </c:tx>
          <c:spPr>
            <a:solidFill>
              <a:srgbClr val="6F3505"/>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case'!$D$116:$M$116</c:f>
              <c:numCache>
                <c:formatCode>#,##0.0</c:formatCode>
                <c:ptCount val="10"/>
                <c:pt idx="0">
                  <c:v>0</c:v>
                </c:pt>
                <c:pt idx="1">
                  <c:v>0</c:v>
                </c:pt>
                <c:pt idx="2">
                  <c:v>2.4</c:v>
                </c:pt>
                <c:pt idx="3">
                  <c:v>4.5</c:v>
                </c:pt>
                <c:pt idx="4">
                  <c:v>4.5</c:v>
                </c:pt>
                <c:pt idx="5">
                  <c:v>4.5</c:v>
                </c:pt>
                <c:pt idx="6">
                  <c:v>4.5</c:v>
                </c:pt>
                <c:pt idx="7">
                  <c:v>4.5</c:v>
                </c:pt>
                <c:pt idx="8">
                  <c:v>1.5</c:v>
                </c:pt>
                <c:pt idx="9">
                  <c:v>0</c:v>
                </c:pt>
              </c:numCache>
            </c:numRef>
          </c:val>
          <c:extLst>
            <c:ext xmlns:c16="http://schemas.microsoft.com/office/drawing/2014/chart" uri="{C3380CC4-5D6E-409C-BE32-E72D297353CC}">
              <c16:uniqueId val="{00000001-CB77-4FF1-A731-A0F281AAB2D8}"/>
            </c:ext>
          </c:extLst>
        </c:ser>
        <c:ser>
          <c:idx val="3"/>
          <c:order val="2"/>
          <c:tx>
            <c:strRef>
              <c:f>'preliminary business case'!$A$119</c:f>
              <c:strCache>
                <c:ptCount val="1"/>
                <c:pt idx="0">
                  <c:v>processing cost</c:v>
                </c:pt>
              </c:strCache>
            </c:strRef>
          </c:tx>
          <c:spPr>
            <a:solidFill>
              <a:schemeClr val="accent2">
                <a:lumMod val="60000"/>
                <a:lumOff val="40000"/>
              </a:schemeClr>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case'!$D$119:$M$119</c:f>
              <c:numCache>
                <c:formatCode>#,##0.0</c:formatCode>
                <c:ptCount val="10"/>
                <c:pt idx="0">
                  <c:v>0</c:v>
                </c:pt>
                <c:pt idx="1">
                  <c:v>0</c:v>
                </c:pt>
                <c:pt idx="2">
                  <c:v>28</c:v>
                </c:pt>
                <c:pt idx="3">
                  <c:v>52.5</c:v>
                </c:pt>
                <c:pt idx="4">
                  <c:v>52.5</c:v>
                </c:pt>
                <c:pt idx="5">
                  <c:v>52.5</c:v>
                </c:pt>
                <c:pt idx="6">
                  <c:v>52.5</c:v>
                </c:pt>
                <c:pt idx="7">
                  <c:v>52.5</c:v>
                </c:pt>
                <c:pt idx="8">
                  <c:v>17.5</c:v>
                </c:pt>
                <c:pt idx="9">
                  <c:v>0</c:v>
                </c:pt>
              </c:numCache>
            </c:numRef>
          </c:val>
          <c:extLst>
            <c:ext xmlns:c16="http://schemas.microsoft.com/office/drawing/2014/chart" uri="{C3380CC4-5D6E-409C-BE32-E72D297353CC}">
              <c16:uniqueId val="{00000002-CB77-4FF1-A731-A0F281AAB2D8}"/>
            </c:ext>
          </c:extLst>
        </c:ser>
        <c:ser>
          <c:idx val="1"/>
          <c:order val="3"/>
          <c:tx>
            <c:strRef>
              <c:f>'preliminary business case'!$A$122</c:f>
              <c:strCache>
                <c:ptCount val="1"/>
                <c:pt idx="0">
                  <c:v>SX-EW cost</c:v>
                </c:pt>
              </c:strCache>
            </c:strRef>
          </c:tx>
          <c:spPr>
            <a:solidFill>
              <a:schemeClr val="accent2">
                <a:lumMod val="40000"/>
                <a:lumOff val="60000"/>
              </a:schemeClr>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case'!$D$122:$M$122</c:f>
              <c:numCache>
                <c:formatCode>#,##0.0</c:formatCode>
                <c:ptCount val="10"/>
                <c:pt idx="0">
                  <c:v>0</c:v>
                </c:pt>
                <c:pt idx="1">
                  <c:v>0</c:v>
                </c:pt>
                <c:pt idx="2">
                  <c:v>10.981999999999999</c:v>
                </c:pt>
                <c:pt idx="3">
                  <c:v>31.706250000000001</c:v>
                </c:pt>
                <c:pt idx="4">
                  <c:v>27.901499999999999</c:v>
                </c:pt>
                <c:pt idx="5">
                  <c:v>32.974499999999999</c:v>
                </c:pt>
                <c:pt idx="6">
                  <c:v>29.169750000000001</c:v>
                </c:pt>
                <c:pt idx="7">
                  <c:v>29.169750000000001</c:v>
                </c:pt>
                <c:pt idx="8">
                  <c:v>10.9915</c:v>
                </c:pt>
                <c:pt idx="9">
                  <c:v>0</c:v>
                </c:pt>
              </c:numCache>
            </c:numRef>
          </c:val>
          <c:extLst>
            <c:ext xmlns:c16="http://schemas.microsoft.com/office/drawing/2014/chart" uri="{C3380CC4-5D6E-409C-BE32-E72D297353CC}">
              <c16:uniqueId val="{00000003-CB77-4FF1-A731-A0F281AAB2D8}"/>
            </c:ext>
          </c:extLst>
        </c:ser>
        <c:ser>
          <c:idx val="4"/>
          <c:order val="4"/>
          <c:tx>
            <c:strRef>
              <c:f>'preliminary business case'!$A$131</c:f>
              <c:strCache>
                <c:ptCount val="1"/>
                <c:pt idx="0">
                  <c:v>Operating costs -  Fixed</c:v>
                </c:pt>
              </c:strCache>
            </c:strRef>
          </c:tx>
          <c:spPr>
            <a:solidFill>
              <a:schemeClr val="accent6">
                <a:lumMod val="20000"/>
                <a:lumOff val="80000"/>
              </a:schemeClr>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case'!$D$131:$M$131</c:f>
              <c:numCache>
                <c:formatCode>#,##0</c:formatCode>
                <c:ptCount val="10"/>
                <c:pt idx="0">
                  <c:v>0</c:v>
                </c:pt>
                <c:pt idx="1">
                  <c:v>0</c:v>
                </c:pt>
                <c:pt idx="2">
                  <c:v>8.1999999999999993</c:v>
                </c:pt>
                <c:pt idx="3">
                  <c:v>8.1999999999999993</c:v>
                </c:pt>
                <c:pt idx="4">
                  <c:v>8.1999999999999993</c:v>
                </c:pt>
                <c:pt idx="5">
                  <c:v>8.1999999999999993</c:v>
                </c:pt>
                <c:pt idx="6">
                  <c:v>8.1999999999999993</c:v>
                </c:pt>
                <c:pt idx="7">
                  <c:v>8.1999999999999993</c:v>
                </c:pt>
                <c:pt idx="8">
                  <c:v>8.1999999999999993</c:v>
                </c:pt>
                <c:pt idx="9">
                  <c:v>0</c:v>
                </c:pt>
              </c:numCache>
            </c:numRef>
          </c:val>
          <c:extLst>
            <c:ext xmlns:c16="http://schemas.microsoft.com/office/drawing/2014/chart" uri="{C3380CC4-5D6E-409C-BE32-E72D297353CC}">
              <c16:uniqueId val="{00000004-CB77-4FF1-A731-A0F281AAB2D8}"/>
            </c:ext>
          </c:extLst>
        </c:ser>
        <c:ser>
          <c:idx val="5"/>
          <c:order val="5"/>
          <c:tx>
            <c:strRef>
              <c:f>'preliminary business case'!$A$136</c:f>
              <c:strCache>
                <c:ptCount val="1"/>
                <c:pt idx="0">
                  <c:v>private royalty</c:v>
                </c:pt>
              </c:strCache>
            </c:strRef>
          </c:tx>
          <c:spPr>
            <a:solidFill>
              <a:srgbClr val="CCCC00"/>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case'!$D$136:$M$136</c:f>
              <c:numCache>
                <c:formatCode>#,##0</c:formatCode>
                <c:ptCount val="10"/>
                <c:pt idx="0">
                  <c:v>0</c:v>
                </c:pt>
                <c:pt idx="1">
                  <c:v>0</c:v>
                </c:pt>
                <c:pt idx="2">
                  <c:v>2.4210917200000002</c:v>
                </c:pt>
                <c:pt idx="3">
                  <c:v>6.9899598750000003</c:v>
                </c:pt>
                <c:pt idx="4">
                  <c:v>6.1511646900000008</c:v>
                </c:pt>
                <c:pt idx="5">
                  <c:v>7.269558270000001</c:v>
                </c:pt>
                <c:pt idx="6">
                  <c:v>6.4307630850000015</c:v>
                </c:pt>
                <c:pt idx="7">
                  <c:v>6.4307630850000015</c:v>
                </c:pt>
                <c:pt idx="8">
                  <c:v>2.4231860900000002</c:v>
                </c:pt>
                <c:pt idx="9">
                  <c:v>0</c:v>
                </c:pt>
              </c:numCache>
            </c:numRef>
          </c:val>
          <c:extLst>
            <c:ext xmlns:c16="http://schemas.microsoft.com/office/drawing/2014/chart" uri="{C3380CC4-5D6E-409C-BE32-E72D297353CC}">
              <c16:uniqueId val="{00000005-CB77-4FF1-A731-A0F281AAB2D8}"/>
            </c:ext>
          </c:extLst>
        </c:ser>
        <c:ser>
          <c:idx val="6"/>
          <c:order val="6"/>
          <c:tx>
            <c:strRef>
              <c:f>'preliminary business case'!$A$140</c:f>
              <c:strCache>
                <c:ptCount val="1"/>
                <c:pt idx="0">
                  <c:v>rehabilitation during operations</c:v>
                </c:pt>
              </c:strCache>
            </c:strRef>
          </c:tx>
          <c:spPr>
            <a:solidFill>
              <a:srgbClr val="008000"/>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case'!$D$140:$M$140</c:f>
              <c:numCache>
                <c:formatCode>#,##0</c:formatCode>
                <c:ptCount val="10"/>
                <c:pt idx="0">
                  <c:v>0</c:v>
                </c:pt>
                <c:pt idx="1">
                  <c:v>3</c:v>
                </c:pt>
                <c:pt idx="2">
                  <c:v>3.8</c:v>
                </c:pt>
                <c:pt idx="3">
                  <c:v>4</c:v>
                </c:pt>
                <c:pt idx="4">
                  <c:v>4</c:v>
                </c:pt>
                <c:pt idx="5">
                  <c:v>4</c:v>
                </c:pt>
                <c:pt idx="6">
                  <c:v>2.5</c:v>
                </c:pt>
                <c:pt idx="7">
                  <c:v>2</c:v>
                </c:pt>
                <c:pt idx="8">
                  <c:v>0.5</c:v>
                </c:pt>
                <c:pt idx="9">
                  <c:v>0</c:v>
                </c:pt>
              </c:numCache>
            </c:numRef>
          </c:val>
          <c:extLst>
            <c:ext xmlns:c16="http://schemas.microsoft.com/office/drawing/2014/chart" uri="{C3380CC4-5D6E-409C-BE32-E72D297353CC}">
              <c16:uniqueId val="{00000006-CB77-4FF1-A731-A0F281AAB2D8}"/>
            </c:ext>
          </c:extLst>
        </c:ser>
        <c:ser>
          <c:idx val="7"/>
          <c:order val="7"/>
          <c:tx>
            <c:strRef>
              <c:f>'preliminary business case'!$A$145</c:f>
              <c:strCache>
                <c:ptCount val="1"/>
                <c:pt idx="0">
                  <c:v>closure</c:v>
                </c:pt>
              </c:strCache>
            </c:strRef>
          </c:tx>
          <c:spPr>
            <a:solidFill>
              <a:schemeClr val="accent3">
                <a:lumMod val="20000"/>
                <a:lumOff val="80000"/>
              </a:schemeClr>
            </a:solidFill>
            <a:ln>
              <a:solidFill>
                <a:srgbClr val="009900"/>
              </a:solid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case'!$D$145:$M$145</c:f>
              <c:numCache>
                <c:formatCode>#,##0</c:formatCode>
                <c:ptCount val="10"/>
                <c:pt idx="2">
                  <c:v>0</c:v>
                </c:pt>
                <c:pt idx="3">
                  <c:v>0</c:v>
                </c:pt>
                <c:pt idx="4">
                  <c:v>0</c:v>
                </c:pt>
                <c:pt idx="5">
                  <c:v>0</c:v>
                </c:pt>
                <c:pt idx="6">
                  <c:v>0</c:v>
                </c:pt>
                <c:pt idx="7">
                  <c:v>0</c:v>
                </c:pt>
                <c:pt idx="8">
                  <c:v>0</c:v>
                </c:pt>
                <c:pt idx="9">
                  <c:v>45</c:v>
                </c:pt>
              </c:numCache>
            </c:numRef>
          </c:val>
          <c:extLst>
            <c:ext xmlns:c16="http://schemas.microsoft.com/office/drawing/2014/chart" uri="{C3380CC4-5D6E-409C-BE32-E72D297353CC}">
              <c16:uniqueId val="{00000007-CB77-4FF1-A731-A0F281AAB2D8}"/>
            </c:ext>
          </c:extLst>
        </c:ser>
        <c:dLbls>
          <c:showLegendKey val="0"/>
          <c:showVal val="0"/>
          <c:showCatName val="0"/>
          <c:showSerName val="0"/>
          <c:showPercent val="0"/>
          <c:showBubbleSize val="0"/>
        </c:dLbls>
        <c:gapWidth val="0"/>
        <c:overlap val="100"/>
        <c:axId val="277113040"/>
        <c:axId val="277111472"/>
      </c:barChart>
      <c:catAx>
        <c:axId val="277113040"/>
        <c:scaling>
          <c:orientation val="minMax"/>
        </c:scaling>
        <c:delete val="0"/>
        <c:axPos val="b"/>
        <c:numFmt formatCode="0" sourceLinked="1"/>
        <c:majorTickMark val="out"/>
        <c:minorTickMark val="none"/>
        <c:tickLblPos val="nextTo"/>
        <c:txPr>
          <a:bodyPr/>
          <a:lstStyle/>
          <a:p>
            <a:pPr>
              <a:defRPr sz="1100" b="0"/>
            </a:pPr>
            <a:endParaRPr lang="en-US"/>
          </a:p>
        </c:txPr>
        <c:crossAx val="277111472"/>
        <c:crosses val="autoZero"/>
        <c:auto val="1"/>
        <c:lblAlgn val="ctr"/>
        <c:lblOffset val="100"/>
        <c:noMultiLvlLbl val="0"/>
      </c:catAx>
      <c:valAx>
        <c:axId val="277111472"/>
        <c:scaling>
          <c:orientation val="minMax"/>
        </c:scaling>
        <c:delete val="0"/>
        <c:axPos val="l"/>
        <c:majorGridlines/>
        <c:title>
          <c:tx>
            <c:rich>
              <a:bodyPr rot="-5400000" vert="horz"/>
              <a:lstStyle/>
              <a:p>
                <a:pPr>
                  <a:defRPr sz="1200" b="1"/>
                </a:pPr>
                <a:r>
                  <a:rPr lang="en-US" sz="1200" b="1"/>
                  <a:t>US$ million</a:t>
                </a:r>
              </a:p>
            </c:rich>
          </c:tx>
          <c:layout>
            <c:manualLayout>
              <c:xMode val="edge"/>
              <c:yMode val="edge"/>
              <c:x val="7.741202554549409E-3"/>
              <c:y val="0.29791962918618053"/>
            </c:manualLayout>
          </c:layout>
          <c:overlay val="0"/>
        </c:title>
        <c:numFmt formatCode="#,##0" sourceLinked="0"/>
        <c:majorTickMark val="out"/>
        <c:minorTickMark val="none"/>
        <c:tickLblPos val="nextTo"/>
        <c:txPr>
          <a:bodyPr/>
          <a:lstStyle/>
          <a:p>
            <a:pPr algn="ctr">
              <a:defRPr lang="en-AU" sz="1000" b="0" i="0" u="none" strike="noStrike" kern="1200" baseline="0">
                <a:solidFill>
                  <a:schemeClr val="tx1"/>
                </a:solidFill>
                <a:latin typeface="+mn-lt"/>
                <a:ea typeface="+mn-ea"/>
                <a:cs typeface="+mn-cs"/>
              </a:defRPr>
            </a:pPr>
            <a:endParaRPr lang="en-US"/>
          </a:p>
        </c:txPr>
        <c:crossAx val="277113040"/>
        <c:crosses val="autoZero"/>
        <c:crossBetween val="between"/>
      </c:valAx>
    </c:plotArea>
    <c:legend>
      <c:legendPos val="b"/>
      <c:layout>
        <c:manualLayout>
          <c:xMode val="edge"/>
          <c:yMode val="edge"/>
          <c:x val="2.0339529144695376E-2"/>
          <c:y val="0.74260960521626229"/>
          <c:w val="0.97966054893695909"/>
          <c:h val="0.22218461271292284"/>
        </c:manualLayout>
      </c:layout>
      <c:overlay val="0"/>
      <c:txPr>
        <a:bodyPr/>
        <a:lstStyle/>
        <a:p>
          <a:pPr>
            <a:defRPr sz="1050" b="0"/>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Capital Costs</a:t>
            </a:r>
          </a:p>
        </c:rich>
      </c:tx>
      <c:layout>
        <c:manualLayout>
          <c:xMode val="edge"/>
          <c:yMode val="edge"/>
          <c:x val="0.35235736130523237"/>
          <c:y val="3.9218532466050442E-2"/>
        </c:manualLayout>
      </c:layout>
      <c:overlay val="1"/>
    </c:title>
    <c:autoTitleDeleted val="0"/>
    <c:plotArea>
      <c:layout>
        <c:manualLayout>
          <c:layoutTarget val="inner"/>
          <c:xMode val="edge"/>
          <c:yMode val="edge"/>
          <c:x val="0.14646321596164386"/>
          <c:y val="5.9392265193370153E-2"/>
          <c:w val="0.80810614841971118"/>
          <c:h val="0.62100970113542442"/>
        </c:manualLayout>
      </c:layout>
      <c:barChart>
        <c:barDir val="col"/>
        <c:grouping val="stacked"/>
        <c:varyColors val="0"/>
        <c:ser>
          <c:idx val="0"/>
          <c:order val="0"/>
          <c:tx>
            <c:strRef>
              <c:f>'preliminary business case'!$A$96</c:f>
              <c:strCache>
                <c:ptCount val="1"/>
                <c:pt idx="0">
                  <c:v>Major Development Capex</c:v>
                </c:pt>
              </c:strCache>
            </c:strRef>
          </c:tx>
          <c:spPr>
            <a:solidFill>
              <a:schemeClr val="accent5">
                <a:lumMod val="40000"/>
                <a:lumOff val="60000"/>
              </a:schemeClr>
            </a:solidFill>
            <a:ln>
              <a:noFill/>
            </a:ln>
          </c:spPr>
          <c:invertIfNegative val="0"/>
          <c:cat>
            <c:numRef>
              <c:f>'preliminary business case'!$D$230:$M$230</c:f>
              <c:numCache>
                <c:formatCode>General</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case'!$D$96:$M$96</c:f>
              <c:numCache>
                <c:formatCode>#,##0</c:formatCode>
                <c:ptCount val="10"/>
                <c:pt idx="0">
                  <c:v>105</c:v>
                </c:pt>
                <c:pt idx="1">
                  <c:v>175</c:v>
                </c:pt>
              </c:numCache>
            </c:numRef>
          </c:val>
          <c:extLst>
            <c:ext xmlns:c16="http://schemas.microsoft.com/office/drawing/2014/chart" uri="{C3380CC4-5D6E-409C-BE32-E72D297353CC}">
              <c16:uniqueId val="{00000000-EF9B-4732-96F3-41CA2EED8BE3}"/>
            </c:ext>
          </c:extLst>
        </c:ser>
        <c:ser>
          <c:idx val="2"/>
          <c:order val="1"/>
          <c:tx>
            <c:strRef>
              <c:f>'preliminary business case'!$A$101</c:f>
              <c:strCache>
                <c:ptCount val="1"/>
                <c:pt idx="0">
                  <c:v>Ongoing Capex</c:v>
                </c:pt>
              </c:strCache>
            </c:strRef>
          </c:tx>
          <c:spPr>
            <a:solidFill>
              <a:schemeClr val="tx2">
                <a:lumMod val="40000"/>
                <a:lumOff val="60000"/>
              </a:schemeClr>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case'!$D$101:$M$101</c:f>
              <c:numCache>
                <c:formatCode>#,##0</c:formatCode>
                <c:ptCount val="10"/>
                <c:pt idx="0">
                  <c:v>0</c:v>
                </c:pt>
                <c:pt idx="1">
                  <c:v>0</c:v>
                </c:pt>
                <c:pt idx="2">
                  <c:v>14</c:v>
                </c:pt>
                <c:pt idx="3">
                  <c:v>14</c:v>
                </c:pt>
                <c:pt idx="4">
                  <c:v>14</c:v>
                </c:pt>
                <c:pt idx="5">
                  <c:v>14</c:v>
                </c:pt>
                <c:pt idx="6">
                  <c:v>14</c:v>
                </c:pt>
                <c:pt idx="7">
                  <c:v>14</c:v>
                </c:pt>
                <c:pt idx="8">
                  <c:v>14</c:v>
                </c:pt>
                <c:pt idx="9">
                  <c:v>0</c:v>
                </c:pt>
              </c:numCache>
            </c:numRef>
          </c:val>
          <c:extLst>
            <c:ext xmlns:c16="http://schemas.microsoft.com/office/drawing/2014/chart" uri="{C3380CC4-5D6E-409C-BE32-E72D297353CC}">
              <c16:uniqueId val="{00000001-EF9B-4732-96F3-41CA2EED8BE3}"/>
            </c:ext>
          </c:extLst>
        </c:ser>
        <c:dLbls>
          <c:showLegendKey val="0"/>
          <c:showVal val="0"/>
          <c:showCatName val="0"/>
          <c:showSerName val="0"/>
          <c:showPercent val="0"/>
          <c:showBubbleSize val="0"/>
        </c:dLbls>
        <c:gapWidth val="0"/>
        <c:overlap val="100"/>
        <c:axId val="277108336"/>
        <c:axId val="277109512"/>
      </c:barChart>
      <c:catAx>
        <c:axId val="277108336"/>
        <c:scaling>
          <c:orientation val="minMax"/>
        </c:scaling>
        <c:delete val="0"/>
        <c:axPos val="b"/>
        <c:numFmt formatCode="General" sourceLinked="1"/>
        <c:majorTickMark val="out"/>
        <c:minorTickMark val="none"/>
        <c:tickLblPos val="nextTo"/>
        <c:txPr>
          <a:bodyPr/>
          <a:lstStyle/>
          <a:p>
            <a:pPr>
              <a:defRPr sz="1100" b="0"/>
            </a:pPr>
            <a:endParaRPr lang="en-US"/>
          </a:p>
        </c:txPr>
        <c:crossAx val="277109512"/>
        <c:crosses val="autoZero"/>
        <c:auto val="1"/>
        <c:lblAlgn val="ctr"/>
        <c:lblOffset val="100"/>
        <c:noMultiLvlLbl val="0"/>
      </c:catAx>
      <c:valAx>
        <c:axId val="277109512"/>
        <c:scaling>
          <c:orientation val="minMax"/>
        </c:scaling>
        <c:delete val="0"/>
        <c:axPos val="l"/>
        <c:majorGridlines/>
        <c:title>
          <c:tx>
            <c:rich>
              <a:bodyPr rot="-5400000" vert="horz"/>
              <a:lstStyle/>
              <a:p>
                <a:pPr>
                  <a:defRPr sz="1200" b="1"/>
                </a:pPr>
                <a:r>
                  <a:rPr lang="en-US" sz="1200" b="1"/>
                  <a:t>US$ million</a:t>
                </a:r>
              </a:p>
            </c:rich>
          </c:tx>
          <c:layout>
            <c:manualLayout>
              <c:xMode val="edge"/>
              <c:yMode val="edge"/>
              <c:x val="9.9195657021277656E-3"/>
              <c:y val="0.12219573150965693"/>
            </c:manualLayout>
          </c:layout>
          <c:overlay val="0"/>
        </c:title>
        <c:numFmt formatCode="#,##0" sourceLinked="1"/>
        <c:majorTickMark val="out"/>
        <c:minorTickMark val="none"/>
        <c:tickLblPos val="nextTo"/>
        <c:txPr>
          <a:bodyPr/>
          <a:lstStyle/>
          <a:p>
            <a:pPr>
              <a:defRPr sz="1050" b="0"/>
            </a:pPr>
            <a:endParaRPr lang="en-US"/>
          </a:p>
        </c:txPr>
        <c:crossAx val="277108336"/>
        <c:crosses val="autoZero"/>
        <c:crossBetween val="between"/>
      </c:valAx>
    </c:plotArea>
    <c:legend>
      <c:legendPos val="b"/>
      <c:layout>
        <c:manualLayout>
          <c:xMode val="edge"/>
          <c:yMode val="edge"/>
          <c:x val="0.12656167979002628"/>
          <c:y val="0.84397268021055361"/>
          <c:w val="0.82040270940158455"/>
          <c:h val="0.10077888090075693"/>
        </c:manualLayout>
      </c:layout>
      <c:overlay val="0"/>
      <c:txPr>
        <a:bodyPr/>
        <a:lstStyle/>
        <a:p>
          <a:pPr>
            <a:defRPr sz="105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Taxes</a:t>
            </a:r>
          </a:p>
        </c:rich>
      </c:tx>
      <c:layout>
        <c:manualLayout>
          <c:xMode val="edge"/>
          <c:yMode val="edge"/>
          <c:x val="0.20449255713193609"/>
          <c:y val="8.7160960686198635E-2"/>
        </c:manualLayout>
      </c:layout>
      <c:overlay val="1"/>
    </c:title>
    <c:autoTitleDeleted val="0"/>
    <c:plotArea>
      <c:layout>
        <c:manualLayout>
          <c:layoutTarget val="inner"/>
          <c:xMode val="edge"/>
          <c:yMode val="edge"/>
          <c:x val="0.12081126721011351"/>
          <c:y val="5.4250218722659664E-2"/>
          <c:w val="0.84615902151151867"/>
          <c:h val="0.64289481932611581"/>
        </c:manualLayout>
      </c:layout>
      <c:barChart>
        <c:barDir val="col"/>
        <c:grouping val="stacked"/>
        <c:varyColors val="0"/>
        <c:ser>
          <c:idx val="1"/>
          <c:order val="0"/>
          <c:tx>
            <c:strRef>
              <c:f>'preliminary business case'!$A$204</c:f>
              <c:strCache>
                <c:ptCount val="1"/>
                <c:pt idx="0">
                  <c:v>Income Tax</c:v>
                </c:pt>
              </c:strCache>
            </c:strRef>
          </c:tx>
          <c:spPr>
            <a:solidFill>
              <a:srgbClr val="FFCDDE"/>
            </a:solidFill>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case'!$D$204:$M$204</c:f>
              <c:numCache>
                <c:formatCode>#,##0_);[Red]\(#,##0\)</c:formatCode>
                <c:ptCount val="10"/>
                <c:pt idx="0">
                  <c:v>0</c:v>
                </c:pt>
                <c:pt idx="1">
                  <c:v>0</c:v>
                </c:pt>
                <c:pt idx="2">
                  <c:v>0</c:v>
                </c:pt>
                <c:pt idx="3">
                  <c:v>2.3058715130999943</c:v>
                </c:pt>
                <c:pt idx="4">
                  <c:v>21.074138296199997</c:v>
                </c:pt>
                <c:pt idx="5">
                  <c:v>35.210259804599993</c:v>
                </c:pt>
                <c:pt idx="6">
                  <c:v>31.08135567330001</c:v>
                </c:pt>
                <c:pt idx="7">
                  <c:v>33.261605073300018</c:v>
                </c:pt>
                <c:pt idx="8">
                  <c:v>0</c:v>
                </c:pt>
                <c:pt idx="9">
                  <c:v>0</c:v>
                </c:pt>
              </c:numCache>
            </c:numRef>
          </c:val>
          <c:extLst>
            <c:ext xmlns:c16="http://schemas.microsoft.com/office/drawing/2014/chart" uri="{C3380CC4-5D6E-409C-BE32-E72D297353CC}">
              <c16:uniqueId val="{00000000-493A-4BFB-91BD-19C9C035717C}"/>
            </c:ext>
          </c:extLst>
        </c:ser>
        <c:ser>
          <c:idx val="0"/>
          <c:order val="1"/>
          <c:tx>
            <c:strRef>
              <c:f>'preliminary business case'!$A$156</c:f>
              <c:strCache>
                <c:ptCount val="1"/>
                <c:pt idx="0">
                  <c:v>Government Royalties</c:v>
                </c:pt>
              </c:strCache>
            </c:strRef>
          </c:tx>
          <c:spPr>
            <a:solidFill>
              <a:srgbClr val="FFE1EB"/>
            </a:solidFill>
            <a:ln>
              <a:noFill/>
            </a:ln>
          </c:spPr>
          <c:invertIfNegative val="0"/>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case'!$D$156:$M$156</c:f>
              <c:numCache>
                <c:formatCode>#,##0</c:formatCode>
                <c:ptCount val="10"/>
                <c:pt idx="0">
                  <c:v>0</c:v>
                </c:pt>
                <c:pt idx="1">
                  <c:v>0</c:v>
                </c:pt>
                <c:pt idx="2">
                  <c:v>5.8106201280000001</c:v>
                </c:pt>
                <c:pt idx="3">
                  <c:v>16.775903699999997</c:v>
                </c:pt>
                <c:pt idx="4">
                  <c:v>14.762795256</c:v>
                </c:pt>
                <c:pt idx="5">
                  <c:v>17.446939848</c:v>
                </c:pt>
                <c:pt idx="6">
                  <c:v>15.433831404000001</c:v>
                </c:pt>
                <c:pt idx="7">
                  <c:v>15.433831404000001</c:v>
                </c:pt>
                <c:pt idx="8">
                  <c:v>5.8156466160000004</c:v>
                </c:pt>
                <c:pt idx="9">
                  <c:v>0</c:v>
                </c:pt>
              </c:numCache>
            </c:numRef>
          </c:val>
          <c:extLst>
            <c:ext xmlns:c16="http://schemas.microsoft.com/office/drawing/2014/chart" uri="{C3380CC4-5D6E-409C-BE32-E72D297353CC}">
              <c16:uniqueId val="{00000001-493A-4BFB-91BD-19C9C035717C}"/>
            </c:ext>
          </c:extLst>
        </c:ser>
        <c:dLbls>
          <c:showLegendKey val="0"/>
          <c:showVal val="0"/>
          <c:showCatName val="0"/>
          <c:showSerName val="0"/>
          <c:showPercent val="0"/>
          <c:showBubbleSize val="0"/>
        </c:dLbls>
        <c:gapWidth val="0"/>
        <c:overlap val="100"/>
        <c:axId val="277112648"/>
        <c:axId val="277109120"/>
      </c:barChart>
      <c:catAx>
        <c:axId val="277112648"/>
        <c:scaling>
          <c:orientation val="minMax"/>
        </c:scaling>
        <c:delete val="0"/>
        <c:axPos val="b"/>
        <c:numFmt formatCode="0" sourceLinked="1"/>
        <c:majorTickMark val="out"/>
        <c:minorTickMark val="none"/>
        <c:tickLblPos val="nextTo"/>
        <c:txPr>
          <a:bodyPr/>
          <a:lstStyle/>
          <a:p>
            <a:pPr>
              <a:defRPr sz="1100" b="0"/>
            </a:pPr>
            <a:endParaRPr lang="en-US"/>
          </a:p>
        </c:txPr>
        <c:crossAx val="277109120"/>
        <c:crosses val="autoZero"/>
        <c:auto val="1"/>
        <c:lblAlgn val="ctr"/>
        <c:lblOffset val="100"/>
        <c:noMultiLvlLbl val="0"/>
      </c:catAx>
      <c:valAx>
        <c:axId val="277109120"/>
        <c:scaling>
          <c:orientation val="minMax"/>
        </c:scaling>
        <c:delete val="0"/>
        <c:axPos val="l"/>
        <c:majorGridlines/>
        <c:title>
          <c:tx>
            <c:rich>
              <a:bodyPr rot="-5400000" vert="horz"/>
              <a:lstStyle/>
              <a:p>
                <a:pPr>
                  <a:defRPr sz="1200" b="1"/>
                </a:pPr>
                <a:r>
                  <a:rPr lang="en-US" sz="1200" b="1"/>
                  <a:t>US$ million</a:t>
                </a:r>
              </a:p>
            </c:rich>
          </c:tx>
          <c:layout>
            <c:manualLayout>
              <c:xMode val="edge"/>
              <c:yMode val="edge"/>
              <c:x val="1.9880418160432064E-2"/>
              <c:y val="0.11638320209973756"/>
            </c:manualLayout>
          </c:layout>
          <c:overlay val="0"/>
        </c:title>
        <c:numFmt formatCode="#,##0_);[Red]\(#,##0\)" sourceLinked="1"/>
        <c:majorTickMark val="out"/>
        <c:minorTickMark val="none"/>
        <c:tickLblPos val="nextTo"/>
        <c:txPr>
          <a:bodyPr/>
          <a:lstStyle/>
          <a:p>
            <a:pPr>
              <a:defRPr sz="1100" b="0"/>
            </a:pPr>
            <a:endParaRPr lang="en-US"/>
          </a:p>
        </c:txPr>
        <c:crossAx val="277112648"/>
        <c:crosses val="autoZero"/>
        <c:crossBetween val="between"/>
      </c:valAx>
    </c:plotArea>
    <c:legend>
      <c:legendPos val="b"/>
      <c:layout>
        <c:manualLayout>
          <c:xMode val="edge"/>
          <c:yMode val="edge"/>
          <c:x val="0.14160623162084279"/>
          <c:y val="0.82144313210848641"/>
          <c:w val="0.81872160107642133"/>
          <c:h val="0.12732764654418197"/>
        </c:manualLayout>
      </c:layout>
      <c:overlay val="0"/>
      <c:txPr>
        <a:bodyPr/>
        <a:lstStyle/>
        <a:p>
          <a:pPr>
            <a:defRPr sz="1050" b="0"/>
          </a:pPr>
          <a:endParaRPr lang="en-US"/>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Sales &amp; Revenue</a:t>
            </a:r>
          </a:p>
        </c:rich>
      </c:tx>
      <c:layout>
        <c:manualLayout>
          <c:xMode val="edge"/>
          <c:yMode val="edge"/>
          <c:x val="0.13414469857206091"/>
          <c:y val="0.12687693094582225"/>
        </c:manualLayout>
      </c:layout>
      <c:overlay val="1"/>
    </c:title>
    <c:autoTitleDeleted val="0"/>
    <c:plotArea>
      <c:layout>
        <c:manualLayout>
          <c:layoutTarget val="inner"/>
          <c:xMode val="edge"/>
          <c:yMode val="edge"/>
          <c:x val="0.1354811086699243"/>
          <c:y val="4.6862596498439324E-2"/>
          <c:w val="0.72562991621673034"/>
          <c:h val="0.65708913349182141"/>
        </c:manualLayout>
      </c:layout>
      <c:barChart>
        <c:barDir val="col"/>
        <c:grouping val="stacked"/>
        <c:varyColors val="0"/>
        <c:ser>
          <c:idx val="0"/>
          <c:order val="0"/>
          <c:tx>
            <c:strRef>
              <c:f>'preliminary business case'!$A$90</c:f>
              <c:strCache>
                <c:ptCount val="1"/>
                <c:pt idx="0">
                  <c:v>Cashstream 1: Revenue</c:v>
                </c:pt>
              </c:strCache>
            </c:strRef>
          </c:tx>
          <c:spPr>
            <a:solidFill>
              <a:schemeClr val="accent3">
                <a:lumMod val="40000"/>
                <a:lumOff val="60000"/>
              </a:schemeClr>
            </a:solidFill>
            <a:ln w="76200">
              <a:noFill/>
            </a:ln>
          </c:spPr>
          <c:invertIfNegative val="0"/>
          <c:cat>
            <c:numRef>
              <c:f>'preliminary business case'!$D$230:$M$230</c:f>
              <c:numCache>
                <c:formatCode>General</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case'!$D$90:$M$90</c:f>
              <c:numCache>
                <c:formatCode>#,##0</c:formatCode>
                <c:ptCount val="10"/>
                <c:pt idx="0">
                  <c:v>0</c:v>
                </c:pt>
                <c:pt idx="1">
                  <c:v>0</c:v>
                </c:pt>
                <c:pt idx="2">
                  <c:v>96.843668800000003</c:v>
                </c:pt>
                <c:pt idx="3">
                  <c:v>279.59839499999998</c:v>
                </c:pt>
                <c:pt idx="4">
                  <c:v>246.04658760000001</c:v>
                </c:pt>
                <c:pt idx="5">
                  <c:v>290.78233080000001</c:v>
                </c:pt>
                <c:pt idx="6">
                  <c:v>257.23052340000004</c:v>
                </c:pt>
                <c:pt idx="7">
                  <c:v>257.23052340000004</c:v>
                </c:pt>
                <c:pt idx="8">
                  <c:v>96.927443600000004</c:v>
                </c:pt>
                <c:pt idx="9">
                  <c:v>0</c:v>
                </c:pt>
              </c:numCache>
            </c:numRef>
          </c:val>
          <c:extLst>
            <c:ext xmlns:c16="http://schemas.microsoft.com/office/drawing/2014/chart" uri="{C3380CC4-5D6E-409C-BE32-E72D297353CC}">
              <c16:uniqueId val="{00000000-B2F2-41AF-AB4D-9CB5A94F8290}"/>
            </c:ext>
          </c:extLst>
        </c:ser>
        <c:dLbls>
          <c:showLegendKey val="0"/>
          <c:showVal val="0"/>
          <c:showCatName val="0"/>
          <c:showSerName val="0"/>
          <c:showPercent val="0"/>
          <c:showBubbleSize val="0"/>
        </c:dLbls>
        <c:gapWidth val="10"/>
        <c:overlap val="46"/>
        <c:axId val="404287008"/>
        <c:axId val="404287400"/>
      </c:barChart>
      <c:lineChart>
        <c:grouping val="standard"/>
        <c:varyColors val="0"/>
        <c:ser>
          <c:idx val="1"/>
          <c:order val="1"/>
          <c:tx>
            <c:strRef>
              <c:f>'preliminary business case'!$A$89</c:f>
              <c:strCache>
                <c:ptCount val="1"/>
                <c:pt idx="0">
                  <c:v>Copper price - SX-EW cathode</c:v>
                </c:pt>
              </c:strCache>
            </c:strRef>
          </c:tx>
          <c:spPr>
            <a:ln>
              <a:solidFill>
                <a:schemeClr val="accent2">
                  <a:lumMod val="75000"/>
                  <a:alpha val="97255"/>
                </a:schemeClr>
              </a:solidFill>
              <a:prstDash val="dash"/>
            </a:ln>
          </c:spPr>
          <c:marker>
            <c:symbol val="none"/>
          </c:marker>
          <c:cat>
            <c:numRef>
              <c:f>'preliminary business case'!$D$76:$M$76</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'preliminary business case'!$D$89:$M$89</c:f>
              <c:numCache>
                <c:formatCode>#,##0.00</c:formatCode>
                <c:ptCount val="10"/>
                <c:pt idx="0">
                  <c:v>3.8</c:v>
                </c:pt>
                <c:pt idx="1">
                  <c:v>3.8</c:v>
                </c:pt>
                <c:pt idx="2">
                  <c:v>3.8</c:v>
                </c:pt>
                <c:pt idx="3">
                  <c:v>3.8</c:v>
                </c:pt>
                <c:pt idx="4">
                  <c:v>3.8</c:v>
                </c:pt>
                <c:pt idx="5">
                  <c:v>3.8</c:v>
                </c:pt>
                <c:pt idx="6">
                  <c:v>3.8</c:v>
                </c:pt>
                <c:pt idx="7">
                  <c:v>3.8</c:v>
                </c:pt>
                <c:pt idx="8">
                  <c:v>3.8</c:v>
                </c:pt>
                <c:pt idx="9">
                  <c:v>3.8</c:v>
                </c:pt>
              </c:numCache>
            </c:numRef>
          </c:val>
          <c:smooth val="0"/>
          <c:extLst>
            <c:ext xmlns:c16="http://schemas.microsoft.com/office/drawing/2014/chart" uri="{C3380CC4-5D6E-409C-BE32-E72D297353CC}">
              <c16:uniqueId val="{00000001-B2F2-41AF-AB4D-9CB5A94F8290}"/>
            </c:ext>
          </c:extLst>
        </c:ser>
        <c:dLbls>
          <c:showLegendKey val="0"/>
          <c:showVal val="0"/>
          <c:showCatName val="0"/>
          <c:showSerName val="0"/>
          <c:showPercent val="0"/>
          <c:showBubbleSize val="0"/>
        </c:dLbls>
        <c:marker val="1"/>
        <c:smooth val="0"/>
        <c:axId val="404286224"/>
        <c:axId val="404288576"/>
      </c:lineChart>
      <c:catAx>
        <c:axId val="404287008"/>
        <c:scaling>
          <c:orientation val="minMax"/>
        </c:scaling>
        <c:delete val="0"/>
        <c:axPos val="b"/>
        <c:numFmt formatCode="General" sourceLinked="1"/>
        <c:majorTickMark val="out"/>
        <c:minorTickMark val="none"/>
        <c:tickLblPos val="nextTo"/>
        <c:txPr>
          <a:bodyPr/>
          <a:lstStyle/>
          <a:p>
            <a:pPr>
              <a:defRPr sz="1100" b="0"/>
            </a:pPr>
            <a:endParaRPr lang="en-US"/>
          </a:p>
        </c:txPr>
        <c:crossAx val="404287400"/>
        <c:crosses val="autoZero"/>
        <c:auto val="1"/>
        <c:lblAlgn val="ctr"/>
        <c:lblOffset val="100"/>
        <c:noMultiLvlLbl val="0"/>
      </c:catAx>
      <c:valAx>
        <c:axId val="404287400"/>
        <c:scaling>
          <c:orientation val="minMax"/>
        </c:scaling>
        <c:delete val="0"/>
        <c:axPos val="l"/>
        <c:majorGridlines/>
        <c:title>
          <c:tx>
            <c:rich>
              <a:bodyPr rot="-5400000" vert="horz"/>
              <a:lstStyle/>
              <a:p>
                <a:pPr>
                  <a:defRPr sz="1200" b="1">
                    <a:solidFill>
                      <a:srgbClr val="00B050"/>
                    </a:solidFill>
                  </a:defRPr>
                </a:pPr>
                <a:r>
                  <a:rPr lang="en-US" sz="1200" b="1">
                    <a:solidFill>
                      <a:srgbClr val="00B050"/>
                    </a:solidFill>
                  </a:rPr>
                  <a:t>Revenue: US$ million</a:t>
                </a:r>
              </a:p>
            </c:rich>
          </c:tx>
          <c:layout>
            <c:manualLayout>
              <c:xMode val="edge"/>
              <c:yMode val="edge"/>
              <c:x val="1.9784615428198298E-2"/>
              <c:y val="0.10173581559284328"/>
            </c:manualLayout>
          </c:layout>
          <c:overlay val="0"/>
        </c:title>
        <c:numFmt formatCode="#,##0" sourceLinked="1"/>
        <c:majorTickMark val="out"/>
        <c:minorTickMark val="none"/>
        <c:tickLblPos val="nextTo"/>
        <c:txPr>
          <a:bodyPr/>
          <a:lstStyle/>
          <a:p>
            <a:pPr>
              <a:defRPr sz="1000" b="1">
                <a:solidFill>
                  <a:srgbClr val="00B050"/>
                </a:solidFill>
              </a:defRPr>
            </a:pPr>
            <a:endParaRPr lang="en-US"/>
          </a:p>
        </c:txPr>
        <c:crossAx val="404287008"/>
        <c:crosses val="autoZero"/>
        <c:crossBetween val="between"/>
      </c:valAx>
      <c:catAx>
        <c:axId val="404286224"/>
        <c:scaling>
          <c:orientation val="minMax"/>
        </c:scaling>
        <c:delete val="1"/>
        <c:axPos val="b"/>
        <c:numFmt formatCode="0" sourceLinked="1"/>
        <c:majorTickMark val="out"/>
        <c:minorTickMark val="none"/>
        <c:tickLblPos val="nextTo"/>
        <c:crossAx val="404288576"/>
        <c:crosses val="autoZero"/>
        <c:auto val="1"/>
        <c:lblAlgn val="ctr"/>
        <c:lblOffset val="100"/>
        <c:noMultiLvlLbl val="0"/>
      </c:catAx>
      <c:valAx>
        <c:axId val="404288576"/>
        <c:scaling>
          <c:orientation val="minMax"/>
        </c:scaling>
        <c:delete val="0"/>
        <c:axPos val="r"/>
        <c:title>
          <c:tx>
            <c:rich>
              <a:bodyPr/>
              <a:lstStyle/>
              <a:p>
                <a:pPr>
                  <a:defRPr sz="1200">
                    <a:solidFill>
                      <a:schemeClr val="accent2">
                        <a:lumMod val="75000"/>
                      </a:schemeClr>
                    </a:solidFill>
                  </a:defRPr>
                </a:pPr>
                <a:r>
                  <a:rPr lang="en-US" sz="1200">
                    <a:solidFill>
                      <a:schemeClr val="accent2">
                        <a:lumMod val="75000"/>
                      </a:schemeClr>
                    </a:solidFill>
                  </a:rPr>
                  <a:t>price </a:t>
                </a:r>
              </a:p>
            </c:rich>
          </c:tx>
          <c:overlay val="0"/>
        </c:title>
        <c:numFmt formatCode="#,##0.00" sourceLinked="0"/>
        <c:majorTickMark val="out"/>
        <c:minorTickMark val="none"/>
        <c:tickLblPos val="nextTo"/>
        <c:txPr>
          <a:bodyPr/>
          <a:lstStyle/>
          <a:p>
            <a:pPr>
              <a:defRPr sz="1000" b="1" baseline="0">
                <a:solidFill>
                  <a:schemeClr val="accent2">
                    <a:lumMod val="75000"/>
                  </a:schemeClr>
                </a:solidFill>
              </a:defRPr>
            </a:pPr>
            <a:endParaRPr lang="en-US"/>
          </a:p>
        </c:txPr>
        <c:crossAx val="404286224"/>
        <c:crosses val="max"/>
        <c:crossBetween val="between"/>
      </c:valAx>
    </c:plotArea>
    <c:legend>
      <c:legendPos val="b"/>
      <c:layout>
        <c:manualLayout>
          <c:xMode val="edge"/>
          <c:yMode val="edge"/>
          <c:x val="5.3230326786904862E-2"/>
          <c:y val="0.81631281691882751"/>
          <c:w val="0.7684389103518805"/>
          <c:h val="0.18289832503527589"/>
        </c:manualLayout>
      </c:layout>
      <c:overlay val="0"/>
      <c:txPr>
        <a:bodyPr/>
        <a:lstStyle/>
        <a:p>
          <a:pPr>
            <a:defRPr sz="1050" b="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444499</xdr:colOff>
      <xdr:row>4</xdr:row>
      <xdr:rowOff>31749</xdr:rowOff>
    </xdr:from>
    <xdr:to>
      <xdr:col>10</xdr:col>
      <xdr:colOff>485774</xdr:colOff>
      <xdr:row>19</xdr:row>
      <xdr:rowOff>101600</xdr:rowOff>
    </xdr:to>
    <xdr:sp macro="" textlink="">
      <xdr:nvSpPr>
        <xdr:cNvPr id="5" name="TextBox 4">
          <a:extLst>
            <a:ext uri="{FF2B5EF4-FFF2-40B4-BE49-F238E27FC236}">
              <a16:creationId xmlns:a16="http://schemas.microsoft.com/office/drawing/2014/main" id="{19FBE748-2B3D-463C-9815-2701CA057F1B}"/>
            </a:ext>
          </a:extLst>
        </xdr:cNvPr>
        <xdr:cNvSpPr txBox="1"/>
      </xdr:nvSpPr>
      <xdr:spPr>
        <a:xfrm>
          <a:off x="5140324" y="1498599"/>
          <a:ext cx="4708525" cy="2898776"/>
        </a:xfrm>
        <a:prstGeom prst="rect">
          <a:avLst/>
        </a:prstGeom>
        <a:solidFill>
          <a:schemeClr val="lt1"/>
        </a:solidFill>
        <a:ln w="9525" cmpd="sng">
          <a:solidFill>
            <a:schemeClr val="accent3">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AU" sz="1200">
              <a:solidFill>
                <a:srgbClr val="00B050"/>
              </a:solidFill>
              <a:latin typeface="+mn-lt"/>
              <a:ea typeface="+mn-ea"/>
              <a:cs typeface="+mn-cs"/>
            </a:rPr>
            <a:t>This is a preliminary assessment of developing a new mine.</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It indicates that the business could be attractive and</a:t>
          </a:r>
          <a:r>
            <a:rPr lang="en-AU" sz="1200" baseline="0">
              <a:solidFill>
                <a:srgbClr val="00B050"/>
              </a:solidFill>
              <a:latin typeface="+mn-lt"/>
              <a:ea typeface="+mn-ea"/>
              <a:cs typeface="+mn-cs"/>
            </a:rPr>
            <a:t> warrants a deeper assessment</a:t>
          </a:r>
          <a:r>
            <a:rPr lang="en-AU" sz="1200">
              <a:solidFill>
                <a:srgbClr val="00B050"/>
              </a:solidFill>
              <a:latin typeface="+mn-lt"/>
              <a:ea typeface="+mn-ea"/>
              <a:cs typeface="+mn-cs"/>
            </a:rPr>
            <a:t>.</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As usual revenue is the most important cashstream but the least known. </a:t>
          </a:r>
        </a:p>
        <a:p>
          <a:pPr marL="0" indent="0" algn="l"/>
          <a:endParaRPr lang="en-AU" sz="1200">
            <a:solidFill>
              <a:srgbClr val="00B050"/>
            </a:solidFill>
            <a:latin typeface="+mn-lt"/>
            <a:ea typeface="+mn-ea"/>
            <a:cs typeface="+mn-cs"/>
          </a:endParaRPr>
        </a:p>
        <a:p>
          <a:pPr marL="0" indent="0" algn="l"/>
          <a:r>
            <a:rPr lang="en-AU" sz="1200">
              <a:solidFill>
                <a:srgbClr val="00B050"/>
              </a:solidFill>
              <a:latin typeface="+mn-lt"/>
              <a:ea typeface="+mn-ea"/>
              <a:cs typeface="+mn-cs"/>
            </a:rPr>
            <a:t>Evaluations now need to be completed over range of combinations of ore tonnes, copper grade</a:t>
          </a:r>
          <a:r>
            <a:rPr lang="en-AU" sz="1200" baseline="0">
              <a:solidFill>
                <a:srgbClr val="00B050"/>
              </a:solidFill>
              <a:latin typeface="+mn-lt"/>
              <a:ea typeface="+mn-ea"/>
              <a:cs typeface="+mn-cs"/>
            </a:rPr>
            <a:t> &amp; </a:t>
          </a:r>
          <a:r>
            <a:rPr lang="en-AU" sz="1200">
              <a:solidFill>
                <a:srgbClr val="00B050"/>
              </a:solidFill>
              <a:latin typeface="+mn-lt"/>
              <a:ea typeface="+mn-ea"/>
              <a:cs typeface="+mn-cs"/>
            </a:rPr>
            <a:t>recovery.</a:t>
          </a:r>
          <a:r>
            <a:rPr lang="en-AU" sz="1200" baseline="0">
              <a:solidFill>
                <a:srgbClr val="00B050"/>
              </a:solidFill>
              <a:latin typeface="+mn-lt"/>
              <a:ea typeface="+mn-ea"/>
              <a:cs typeface="+mn-cs"/>
            </a:rPr>
            <a:t>  These need to be evaluated against ranges of</a:t>
          </a:r>
          <a:r>
            <a:rPr lang="en-AU" sz="1200">
              <a:solidFill>
                <a:srgbClr val="00B050"/>
              </a:solidFill>
              <a:latin typeface="+mn-lt"/>
              <a:ea typeface="+mn-ea"/>
              <a:cs typeface="+mn-cs"/>
            </a:rPr>
            <a:t> capital costs</a:t>
          </a:r>
          <a:r>
            <a:rPr lang="en-AU" sz="1200" baseline="0">
              <a:solidFill>
                <a:srgbClr val="00B050"/>
              </a:solidFill>
              <a:latin typeface="+mn-lt"/>
              <a:ea typeface="+mn-ea"/>
              <a:cs typeface="+mn-cs"/>
            </a:rPr>
            <a:t> and operating costs</a:t>
          </a:r>
          <a:r>
            <a:rPr lang="en-AU" sz="1200">
              <a:solidFill>
                <a:srgbClr val="00B050"/>
              </a:solidFill>
              <a:latin typeface="+mn-lt"/>
              <a:ea typeface="+mn-ea"/>
              <a:cs typeface="+mn-cs"/>
            </a:rPr>
            <a:t>.  What is the likelihood of</a:t>
          </a:r>
          <a:r>
            <a:rPr lang="en-AU" sz="1200" baseline="0">
              <a:solidFill>
                <a:srgbClr val="00B050"/>
              </a:solidFill>
              <a:latin typeface="+mn-lt"/>
              <a:ea typeface="+mn-ea"/>
              <a:cs typeface="+mn-cs"/>
            </a:rPr>
            <a:t> each of these?</a:t>
          </a:r>
        </a:p>
        <a:p>
          <a:pPr marL="0" indent="0" algn="l"/>
          <a:endParaRPr lang="en-AU" sz="1200" baseline="0">
            <a:solidFill>
              <a:srgbClr val="00B050"/>
            </a:solidFill>
            <a:latin typeface="+mn-lt"/>
            <a:ea typeface="+mn-ea"/>
            <a:cs typeface="+mn-cs"/>
          </a:endParaRPr>
        </a:p>
        <a:p>
          <a:pPr marL="0" indent="0" algn="l"/>
          <a:r>
            <a:rPr lang="en-AU" sz="1200" baseline="0">
              <a:solidFill>
                <a:srgbClr val="00B050"/>
              </a:solidFill>
              <a:latin typeface="+mn-lt"/>
              <a:ea typeface="+mn-ea"/>
              <a:cs typeface="+mn-cs"/>
            </a:rPr>
            <a:t>This graph of the four cashstreams reveals the anatomy of the whole business.</a:t>
          </a:r>
          <a:endParaRPr lang="en-AU" sz="1200">
            <a:solidFill>
              <a:srgbClr val="00B050"/>
            </a:solidFill>
            <a:latin typeface="+mn-lt"/>
            <a:ea typeface="+mn-ea"/>
            <a:cs typeface="+mn-cs"/>
          </a:endParaRPr>
        </a:p>
      </xdr:txBody>
    </xdr:sp>
    <xdr:clientData/>
  </xdr:twoCellAnchor>
  <xdr:twoCellAnchor>
    <xdr:from>
      <xdr:col>0</xdr:col>
      <xdr:colOff>215900</xdr:colOff>
      <xdr:row>23</xdr:row>
      <xdr:rowOff>76200</xdr:rowOff>
    </xdr:from>
    <xdr:to>
      <xdr:col>3</xdr:col>
      <xdr:colOff>114300</xdr:colOff>
      <xdr:row>33</xdr:row>
      <xdr:rowOff>158751</xdr:rowOff>
    </xdr:to>
    <xdr:graphicFrame macro="">
      <xdr:nvGraphicFramePr>
        <xdr:cNvPr id="4" name="Chart 3">
          <a:extLst>
            <a:ext uri="{FF2B5EF4-FFF2-40B4-BE49-F238E27FC236}">
              <a16:creationId xmlns:a16="http://schemas.microsoft.com/office/drawing/2014/main" id="{AF4104D1-7795-4C65-803D-2C9BF6F39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206375</xdr:colOff>
      <xdr:row>34</xdr:row>
      <xdr:rowOff>85725</xdr:rowOff>
    </xdr:from>
    <xdr:to>
      <xdr:col>3</xdr:col>
      <xdr:colOff>501650</xdr:colOff>
      <xdr:row>45</xdr:row>
      <xdr:rowOff>0</xdr:rowOff>
    </xdr:to>
    <xdr:graphicFrame macro="">
      <xdr:nvGraphicFramePr>
        <xdr:cNvPr id="8322371" name="Chart 1">
          <a:extLst>
            <a:ext uri="{FF2B5EF4-FFF2-40B4-BE49-F238E27FC236}">
              <a16:creationId xmlns:a16="http://schemas.microsoft.com/office/drawing/2014/main" id="{00000000-0008-0000-0100-000043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112394</xdr:colOff>
      <xdr:row>45</xdr:row>
      <xdr:rowOff>68580</xdr:rowOff>
    </xdr:from>
    <xdr:to>
      <xdr:col>3</xdr:col>
      <xdr:colOff>361950</xdr:colOff>
      <xdr:row>55</xdr:row>
      <xdr:rowOff>0</xdr:rowOff>
    </xdr:to>
    <xdr:graphicFrame macro="">
      <xdr:nvGraphicFramePr>
        <xdr:cNvPr id="8322372" name="Chart 2">
          <a:extLst>
            <a:ext uri="{FF2B5EF4-FFF2-40B4-BE49-F238E27FC236}">
              <a16:creationId xmlns:a16="http://schemas.microsoft.com/office/drawing/2014/main" id="{00000000-0008-0000-0100-000044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292100</xdr:colOff>
      <xdr:row>23</xdr:row>
      <xdr:rowOff>86360</xdr:rowOff>
    </xdr:from>
    <xdr:to>
      <xdr:col>10</xdr:col>
      <xdr:colOff>457200</xdr:colOff>
      <xdr:row>33</xdr:row>
      <xdr:rowOff>187325</xdr:rowOff>
    </xdr:to>
    <xdr:graphicFrame macro="">
      <xdr:nvGraphicFramePr>
        <xdr:cNvPr id="8322374" name="Chart 3">
          <a:extLst>
            <a:ext uri="{FF2B5EF4-FFF2-40B4-BE49-F238E27FC236}">
              <a16:creationId xmlns:a16="http://schemas.microsoft.com/office/drawing/2014/main" id="{00000000-0008-0000-0100-000046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112396</xdr:colOff>
      <xdr:row>55</xdr:row>
      <xdr:rowOff>156211</xdr:rowOff>
    </xdr:from>
    <xdr:to>
      <xdr:col>3</xdr:col>
      <xdr:colOff>381000</xdr:colOff>
      <xdr:row>73</xdr:row>
      <xdr:rowOff>180975</xdr:rowOff>
    </xdr:to>
    <xdr:graphicFrame macro="">
      <xdr:nvGraphicFramePr>
        <xdr:cNvPr id="8322375" name="Chart 2">
          <a:extLst>
            <a:ext uri="{FF2B5EF4-FFF2-40B4-BE49-F238E27FC236}">
              <a16:creationId xmlns:a16="http://schemas.microsoft.com/office/drawing/2014/main" id="{00000000-0008-0000-0100-000047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476250</xdr:colOff>
      <xdr:row>55</xdr:row>
      <xdr:rowOff>158115</xdr:rowOff>
    </xdr:from>
    <xdr:to>
      <xdr:col>10</xdr:col>
      <xdr:colOff>630554</xdr:colOff>
      <xdr:row>64</xdr:row>
      <xdr:rowOff>57150</xdr:rowOff>
    </xdr:to>
    <xdr:graphicFrame macro="">
      <xdr:nvGraphicFramePr>
        <xdr:cNvPr id="8322376" name="Chart 2">
          <a:extLst>
            <a:ext uri="{FF2B5EF4-FFF2-40B4-BE49-F238E27FC236}">
              <a16:creationId xmlns:a16="http://schemas.microsoft.com/office/drawing/2014/main" id="{00000000-0008-0000-0100-000048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504825</xdr:colOff>
      <xdr:row>64</xdr:row>
      <xdr:rowOff>142876</xdr:rowOff>
    </xdr:from>
    <xdr:to>
      <xdr:col>10</xdr:col>
      <xdr:colOff>617219</xdr:colOff>
      <xdr:row>73</xdr:row>
      <xdr:rowOff>142875</xdr:rowOff>
    </xdr:to>
    <xdr:graphicFrame macro="">
      <xdr:nvGraphicFramePr>
        <xdr:cNvPr id="8322377" name="Chart 2">
          <a:extLst>
            <a:ext uri="{FF2B5EF4-FFF2-40B4-BE49-F238E27FC236}">
              <a16:creationId xmlns:a16="http://schemas.microsoft.com/office/drawing/2014/main" id="{00000000-0008-0000-0100-000049FD7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571500</xdr:colOff>
      <xdr:row>167</xdr:row>
      <xdr:rowOff>152400</xdr:rowOff>
    </xdr:from>
    <xdr:to>
      <xdr:col>3</xdr:col>
      <xdr:colOff>135068</xdr:colOff>
      <xdr:row>168</xdr:row>
      <xdr:rowOff>96819</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4381500" y="33385125"/>
          <a:ext cx="449393" cy="106344"/>
        </a:xfrm>
        <a:prstGeom prst="straightConnector1">
          <a:avLst/>
        </a:prstGeom>
        <a:ln w="952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637538</xdr:colOff>
      <xdr:row>35</xdr:row>
      <xdr:rowOff>168276</xdr:rowOff>
    </xdr:from>
    <xdr:to>
      <xdr:col>10</xdr:col>
      <xdr:colOff>139700</xdr:colOff>
      <xdr:row>40</xdr:row>
      <xdr:rowOff>76200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333363" y="8083551"/>
          <a:ext cx="4169412" cy="1003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200">
              <a:solidFill>
                <a:srgbClr val="00B050"/>
              </a:solidFill>
            </a:rPr>
            <a:t>First, look at the </a:t>
          </a:r>
          <a:r>
            <a:rPr lang="en-AU" sz="1200" b="1">
              <a:solidFill>
                <a:srgbClr val="00B050"/>
              </a:solidFill>
            </a:rPr>
            <a:t>profiles</a:t>
          </a:r>
          <a:r>
            <a:rPr lang="en-AU" sz="1200">
              <a:solidFill>
                <a:srgbClr val="00B050"/>
              </a:solidFill>
            </a:rPr>
            <a:t> of these three graphs over the years.  They give</a:t>
          </a:r>
          <a:r>
            <a:rPr lang="en-AU" sz="1200" baseline="0">
              <a:solidFill>
                <a:srgbClr val="00B050"/>
              </a:solidFill>
            </a:rPr>
            <a:t> an immediate overview of the business.</a:t>
          </a:r>
          <a:endParaRPr lang="en-AU" sz="1200">
            <a:solidFill>
              <a:srgbClr val="00B050"/>
            </a:solidFill>
          </a:endParaRPr>
        </a:p>
        <a:p>
          <a:pPr algn="l"/>
          <a:r>
            <a:rPr lang="en-AU" sz="1200">
              <a:solidFill>
                <a:srgbClr val="00B050"/>
              </a:solidFill>
            </a:rPr>
            <a:t>Do they reflect</a:t>
          </a:r>
          <a:r>
            <a:rPr lang="en-AU" sz="1200" baseline="0">
              <a:solidFill>
                <a:srgbClr val="00B050"/>
              </a:solidFill>
            </a:rPr>
            <a:t> a </a:t>
          </a:r>
          <a:r>
            <a:rPr lang="en-AU" sz="1200">
              <a:solidFill>
                <a:srgbClr val="00B050"/>
              </a:solidFill>
            </a:rPr>
            <a:t>healthy,</a:t>
          </a:r>
          <a:r>
            <a:rPr lang="en-AU" sz="1200" baseline="0">
              <a:solidFill>
                <a:srgbClr val="00B050"/>
              </a:solidFill>
            </a:rPr>
            <a:t> sound business?</a:t>
          </a:r>
          <a:r>
            <a:rPr lang="en-AU" sz="1200" b="1">
              <a:solidFill>
                <a:srgbClr val="00B050"/>
              </a:solidFill>
            </a:rPr>
            <a:t>   </a:t>
          </a:r>
        </a:p>
        <a:p>
          <a:pPr algn="l"/>
          <a:r>
            <a:rPr lang="en-AU" sz="1200" b="1">
              <a:solidFill>
                <a:srgbClr val="00B050"/>
              </a:solidFill>
            </a:rPr>
            <a:t>Do not just rush to look at the final NPV!!!</a:t>
          </a:r>
        </a:p>
      </xdr:txBody>
    </xdr:sp>
    <xdr:clientData/>
  </xdr:twoCellAnchor>
  <xdr:twoCellAnchor>
    <xdr:from>
      <xdr:col>3</xdr:col>
      <xdr:colOff>447676</xdr:colOff>
      <xdr:row>45</xdr:row>
      <xdr:rowOff>55245</xdr:rowOff>
    </xdr:from>
    <xdr:to>
      <xdr:col>10</xdr:col>
      <xdr:colOff>609600</xdr:colOff>
      <xdr:row>55</xdr:row>
      <xdr:rowOff>47625</xdr:rowOff>
    </xdr:to>
    <xdr:graphicFrame macro="">
      <xdr:nvGraphicFramePr>
        <xdr:cNvPr id="14" name="Chart 2">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8"/>
  <sheetViews>
    <sheetView tabSelected="1" zoomScaleNormal="100" workbookViewId="0">
      <selection activeCell="B3" sqref="B3"/>
    </sheetView>
  </sheetViews>
  <sheetFormatPr defaultRowHeight="14.5" x14ac:dyDescent="0.35"/>
  <cols>
    <col min="1" max="1" width="14" customWidth="1"/>
    <col min="2" max="2" width="14.453125" customWidth="1"/>
    <col min="3" max="3" width="12.7265625" customWidth="1"/>
  </cols>
  <sheetData>
    <row r="1" spans="1:26" s="5" customFormat="1" ht="23.5" x14ac:dyDescent="0.35">
      <c r="A1" s="67" t="s">
        <v>168</v>
      </c>
      <c r="B1" s="67"/>
      <c r="C1" s="67"/>
      <c r="D1" s="67"/>
      <c r="E1" s="67"/>
      <c r="F1" s="67"/>
      <c r="G1" s="67"/>
      <c r="H1" s="67"/>
      <c r="I1" s="67"/>
      <c r="J1" s="67"/>
      <c r="K1" s="67"/>
      <c r="L1" s="67"/>
      <c r="M1" s="33"/>
      <c r="N1" s="33"/>
      <c r="O1" s="33"/>
      <c r="P1" s="19"/>
      <c r="Q1" s="19"/>
      <c r="R1" s="19"/>
      <c r="S1" s="19"/>
      <c r="T1" s="19"/>
      <c r="U1" s="19"/>
      <c r="V1" s="19"/>
      <c r="W1" s="19"/>
      <c r="X1" s="19"/>
      <c r="Y1" s="19"/>
      <c r="Z1" s="19"/>
    </row>
    <row r="2" spans="1:26" s="5" customFormat="1" ht="17.25" customHeight="1" x14ac:dyDescent="0.35">
      <c r="A2" s="42" t="s">
        <v>0</v>
      </c>
      <c r="E2" s="19"/>
      <c r="F2" s="19"/>
      <c r="G2" s="19"/>
      <c r="H2" s="19"/>
      <c r="I2" s="19"/>
      <c r="J2" s="19"/>
      <c r="K2" s="19"/>
      <c r="L2" s="19"/>
      <c r="M2" s="19"/>
      <c r="N2" s="19"/>
      <c r="O2" s="19"/>
      <c r="P2" s="19"/>
      <c r="Q2" s="19"/>
      <c r="R2" s="19"/>
      <c r="S2" s="19"/>
    </row>
    <row r="3" spans="1:26" ht="17.25" customHeight="1" x14ac:dyDescent="0.35">
      <c r="A3" s="43" t="s">
        <v>85</v>
      </c>
      <c r="E3" s="10"/>
      <c r="F3" s="10"/>
      <c r="G3" s="10"/>
      <c r="H3" s="10"/>
      <c r="I3" s="10"/>
      <c r="J3" s="10"/>
      <c r="K3" s="10"/>
      <c r="L3" s="10"/>
      <c r="M3" s="10"/>
      <c r="N3" s="10"/>
      <c r="O3" s="10"/>
      <c r="P3" s="10"/>
      <c r="Q3" s="10"/>
      <c r="R3" s="10"/>
      <c r="S3" s="10"/>
    </row>
    <row r="4" spans="1:26" s="5" customFormat="1" ht="17.25" customHeight="1" x14ac:dyDescent="0.35">
      <c r="A4" s="42" t="s">
        <v>1</v>
      </c>
      <c r="E4" s="19"/>
      <c r="F4" s="19"/>
      <c r="G4" s="19"/>
      <c r="H4" s="19"/>
      <c r="I4" s="19"/>
      <c r="J4" s="19"/>
      <c r="K4" s="19"/>
      <c r="L4" s="19"/>
      <c r="M4" s="19"/>
      <c r="N4" s="19"/>
      <c r="O4" s="19"/>
      <c r="P4" s="19"/>
      <c r="Q4" s="19"/>
      <c r="R4" s="19"/>
      <c r="S4" s="19"/>
    </row>
    <row r="5" spans="1:26" s="4" customFormat="1" ht="17.25" customHeight="1" x14ac:dyDescent="0.45">
      <c r="A5" s="127" t="s">
        <v>169</v>
      </c>
      <c r="B5" s="130"/>
      <c r="C5" s="131"/>
      <c r="D5" s="10"/>
      <c r="E5" s="8"/>
      <c r="F5" s="9"/>
      <c r="G5" s="9"/>
      <c r="H5" s="9"/>
      <c r="I5" s="9"/>
      <c r="J5" s="9"/>
      <c r="K5" s="9"/>
      <c r="L5" s="9"/>
      <c r="M5" s="10"/>
      <c r="N5" s="10"/>
      <c r="O5" s="10"/>
      <c r="P5" s="10"/>
      <c r="Q5" s="10"/>
      <c r="R5" s="10"/>
      <c r="S5" s="10"/>
    </row>
    <row r="6" spans="1:26" s="4" customFormat="1" ht="17" customHeight="1" x14ac:dyDescent="0.45">
      <c r="A6" s="127" t="s">
        <v>170</v>
      </c>
      <c r="B6" s="130"/>
      <c r="C6" s="131"/>
      <c r="D6" s="10"/>
      <c r="E6" s="8"/>
      <c r="F6" s="9"/>
      <c r="G6" s="9"/>
      <c r="H6" s="9"/>
      <c r="I6" s="9"/>
      <c r="J6" s="9"/>
      <c r="K6" s="9"/>
      <c r="L6" s="9"/>
      <c r="M6" s="10"/>
      <c r="N6" s="10"/>
      <c r="O6" s="10"/>
      <c r="P6" s="10"/>
      <c r="Q6" s="10"/>
      <c r="R6" s="10"/>
      <c r="S6" s="10"/>
    </row>
    <row r="7" spans="1:26" s="4" customFormat="1" ht="17" customHeight="1" x14ac:dyDescent="0.45">
      <c r="A7" s="127" t="s">
        <v>140</v>
      </c>
      <c r="B7" s="130"/>
      <c r="C7" s="131"/>
      <c r="D7" s="10"/>
      <c r="E7" s="8"/>
      <c r="F7" s="9"/>
      <c r="G7" s="9"/>
      <c r="H7" s="9"/>
      <c r="I7" s="9"/>
      <c r="J7" s="9"/>
      <c r="K7" s="9"/>
      <c r="L7" s="9"/>
      <c r="M7" s="10"/>
      <c r="N7" s="10"/>
      <c r="O7" s="10"/>
      <c r="P7" s="10"/>
      <c r="Q7" s="10"/>
      <c r="R7" s="10"/>
      <c r="S7" s="10"/>
    </row>
    <row r="8" spans="1:26" s="4" customFormat="1" ht="17.25" customHeight="1" x14ac:dyDescent="0.45">
      <c r="A8" s="127" t="s">
        <v>139</v>
      </c>
      <c r="B8" s="130"/>
      <c r="C8" s="131"/>
      <c r="D8" s="10"/>
      <c r="E8" s="8"/>
      <c r="F8" s="9"/>
      <c r="G8" s="9"/>
      <c r="H8" s="9"/>
      <c r="I8" s="9"/>
      <c r="J8" s="9"/>
      <c r="K8" s="9"/>
      <c r="L8" s="9"/>
      <c r="M8" s="10"/>
      <c r="N8" s="10"/>
      <c r="O8" s="10"/>
      <c r="P8" s="10"/>
      <c r="Q8" s="10"/>
      <c r="R8" s="10"/>
      <c r="S8" s="10"/>
    </row>
    <row r="9" spans="1:26" s="5" customFormat="1" ht="17.25" customHeight="1" x14ac:dyDescent="0.35">
      <c r="A9" s="42" t="s">
        <v>3</v>
      </c>
      <c r="E9" s="19"/>
      <c r="F9" s="19"/>
      <c r="G9" s="19"/>
      <c r="H9" s="19"/>
      <c r="I9" s="19"/>
      <c r="J9" s="19"/>
      <c r="K9" s="19"/>
      <c r="L9" s="19"/>
      <c r="M9" s="19"/>
      <c r="N9" s="19"/>
      <c r="O9" s="19"/>
      <c r="P9" s="19"/>
      <c r="Q9" s="19"/>
      <c r="R9" s="19"/>
      <c r="S9" s="19"/>
    </row>
    <row r="10" spans="1:26" s="15" customFormat="1" ht="17.25" customHeight="1" x14ac:dyDescent="0.3">
      <c r="A10" s="127" t="s">
        <v>25</v>
      </c>
      <c r="B10" s="127" t="s">
        <v>80</v>
      </c>
      <c r="C10" s="128">
        <v>45537</v>
      </c>
      <c r="E10" s="16"/>
      <c r="F10" s="17"/>
    </row>
    <row r="11" spans="1:26" s="15" customFormat="1" ht="17.25" customHeight="1" x14ac:dyDescent="0.3">
      <c r="A11" s="127" t="s">
        <v>26</v>
      </c>
      <c r="B11" s="127" t="s">
        <v>5</v>
      </c>
      <c r="E11" s="16"/>
      <c r="F11" s="17"/>
    </row>
    <row r="12" spans="1:26" s="5" customFormat="1" ht="17.25" customHeight="1" x14ac:dyDescent="0.35">
      <c r="A12" s="42" t="s">
        <v>24</v>
      </c>
      <c r="E12" s="19"/>
      <c r="F12" s="19"/>
      <c r="G12" s="19"/>
      <c r="H12" s="19"/>
      <c r="I12" s="19"/>
      <c r="J12" s="19"/>
      <c r="K12" s="19"/>
      <c r="L12" s="19"/>
      <c r="M12" s="19"/>
      <c r="N12" s="19"/>
      <c r="O12" s="19"/>
      <c r="P12" s="19"/>
      <c r="Q12" s="19"/>
      <c r="R12" s="19"/>
      <c r="S12" s="19"/>
    </row>
    <row r="13" spans="1:26" s="6" customFormat="1" ht="17.25" customHeight="1" x14ac:dyDescent="0.35">
      <c r="A13" s="53" t="s">
        <v>37</v>
      </c>
      <c r="B13" s="44"/>
      <c r="C13" s="45"/>
      <c r="D13"/>
      <c r="E13" s="13"/>
      <c r="F13" s="14"/>
    </row>
    <row r="14" spans="1:26" s="5" customFormat="1" ht="55.5" customHeight="1" x14ac:dyDescent="0.35">
      <c r="A14" s="18" t="s">
        <v>87</v>
      </c>
      <c r="B14" s="19"/>
      <c r="C14" s="19"/>
      <c r="D14" s="19"/>
      <c r="E14" s="19"/>
      <c r="F14" s="19"/>
      <c r="G14" s="19"/>
      <c r="H14" s="19"/>
      <c r="I14" s="19"/>
      <c r="J14" s="19"/>
      <c r="K14" s="19"/>
      <c r="L14" s="19"/>
      <c r="M14" s="19"/>
      <c r="N14" s="19"/>
      <c r="O14" s="19"/>
      <c r="P14" s="19"/>
      <c r="Q14" s="19"/>
      <c r="R14" s="19"/>
      <c r="S14" s="19"/>
    </row>
    <row r="15" spans="1:26" s="5" customFormat="1" ht="19.5" customHeight="1" x14ac:dyDescent="0.35">
      <c r="A15" s="49" t="s">
        <v>88</v>
      </c>
      <c r="E15" s="19"/>
      <c r="F15" s="19"/>
      <c r="G15" s="19"/>
      <c r="H15" s="19"/>
      <c r="I15" s="19"/>
      <c r="J15" s="19"/>
      <c r="K15" s="19"/>
      <c r="L15" s="19"/>
      <c r="M15" s="19"/>
      <c r="N15" s="19"/>
      <c r="O15" s="19"/>
      <c r="P15" s="19"/>
      <c r="Q15" s="19"/>
      <c r="R15" s="19"/>
      <c r="S15" s="19"/>
    </row>
    <row r="16" spans="1:26" s="10" customFormat="1" ht="13" x14ac:dyDescent="0.3">
      <c r="A16" s="41">
        <f>45+22.4</f>
        <v>67.400000000000006</v>
      </c>
      <c r="B16" s="10" t="s">
        <v>113</v>
      </c>
    </row>
    <row r="17" spans="1:19" s="10" customFormat="1" ht="13" x14ac:dyDescent="0.3">
      <c r="A17" s="40" t="s">
        <v>86</v>
      </c>
    </row>
    <row r="18" spans="1:19" s="10" customFormat="1" ht="13" x14ac:dyDescent="0.3">
      <c r="A18" s="11"/>
      <c r="B18" s="10" t="s">
        <v>114</v>
      </c>
    </row>
    <row r="19" spans="1:19" s="10" customFormat="1" ht="13" x14ac:dyDescent="0.3">
      <c r="A19" s="125">
        <v>67.400000000000006</v>
      </c>
      <c r="B19" s="10" t="s">
        <v>115</v>
      </c>
    </row>
    <row r="20" spans="1:19" s="46" customFormat="1" ht="28.5" customHeight="1" x14ac:dyDescent="0.45">
      <c r="A20" s="50" t="s">
        <v>89</v>
      </c>
      <c r="E20" s="47"/>
      <c r="F20" s="47"/>
      <c r="G20" s="47"/>
      <c r="H20" s="47"/>
      <c r="I20" s="47"/>
      <c r="J20" s="47"/>
      <c r="K20" s="47"/>
      <c r="L20" s="47"/>
      <c r="M20" s="47"/>
      <c r="N20" s="47"/>
      <c r="O20" s="47"/>
      <c r="P20" s="47"/>
      <c r="Q20" s="47"/>
      <c r="R20" s="47"/>
      <c r="S20" s="47"/>
    </row>
    <row r="21" spans="1:19" s="10" customFormat="1" ht="13" x14ac:dyDescent="0.3">
      <c r="A21" s="11"/>
      <c r="B21" s="10" t="s">
        <v>116</v>
      </c>
    </row>
    <row r="22" spans="1:19" s="10" customFormat="1" ht="13" x14ac:dyDescent="0.3">
      <c r="A22" s="150" t="str">
        <f>'preliminary business case'!A80</f>
        <v>Waste removed</v>
      </c>
      <c r="B22" s="150" t="str">
        <f>'preliminary business case'!B80</f>
        <v>000 tonnes</v>
      </c>
      <c r="C22" s="151">
        <f>'preliminary business case'!C80</f>
        <v>15000</v>
      </c>
      <c r="D22" s="151">
        <f>'preliminary business case'!D80</f>
        <v>0</v>
      </c>
      <c r="E22" s="151">
        <f>'preliminary business case'!E80</f>
        <v>3000</v>
      </c>
      <c r="F22" s="151">
        <f>'preliminary business case'!F80</f>
        <v>3000</v>
      </c>
      <c r="G22" s="151">
        <f>'preliminary business case'!G80</f>
        <v>2500</v>
      </c>
      <c r="H22" s="151">
        <f>'preliminary business case'!H80</f>
        <v>2500</v>
      </c>
      <c r="I22" s="151">
        <f>'preliminary business case'!I80</f>
        <v>2500</v>
      </c>
      <c r="J22" s="151">
        <f>'preliminary business case'!J80</f>
        <v>1000</v>
      </c>
      <c r="K22" s="151">
        <f>'preliminary business case'!K80</f>
        <v>500</v>
      </c>
      <c r="L22" s="151">
        <f>'preliminary business case'!L80</f>
        <v>0</v>
      </c>
      <c r="M22" s="151">
        <f>'preliminary business case'!M80</f>
        <v>0</v>
      </c>
    </row>
    <row r="23" spans="1:19" s="10" customFormat="1" ht="13" x14ac:dyDescent="0.3">
      <c r="A23" s="11"/>
      <c r="B23" s="10" t="s">
        <v>95</v>
      </c>
    </row>
    <row r="24" spans="1:19" s="10" customFormat="1" ht="13" x14ac:dyDescent="0.3">
      <c r="A24" s="11"/>
      <c r="B24" s="10" t="s">
        <v>97</v>
      </c>
    </row>
    <row r="25" spans="1:19" s="10" customFormat="1" ht="13" x14ac:dyDescent="0.3">
      <c r="A25" s="11"/>
      <c r="B25" s="10" t="s">
        <v>90</v>
      </c>
    </row>
    <row r="26" spans="1:19" s="48" customFormat="1" ht="28.5" customHeight="1" x14ac:dyDescent="0.45">
      <c r="A26" s="51" t="s">
        <v>91</v>
      </c>
      <c r="E26" s="15"/>
      <c r="F26" s="15"/>
      <c r="G26" s="15"/>
      <c r="H26" s="15"/>
      <c r="I26" s="15"/>
      <c r="J26" s="15"/>
      <c r="K26" s="15"/>
      <c r="L26" s="15"/>
      <c r="M26" s="15"/>
      <c r="N26" s="15"/>
      <c r="O26" s="15"/>
      <c r="P26" s="15"/>
      <c r="Q26" s="15"/>
      <c r="R26" s="15"/>
      <c r="S26" s="15"/>
    </row>
    <row r="27" spans="1:19" s="10" customFormat="1" ht="13" x14ac:dyDescent="0.3">
      <c r="A27" s="12">
        <f>A16+A19</f>
        <v>134.80000000000001</v>
      </c>
      <c r="B27" s="10" t="s">
        <v>92</v>
      </c>
    </row>
    <row r="28" spans="1:19" s="48" customFormat="1" ht="28.5" customHeight="1" x14ac:dyDescent="0.45">
      <c r="A28" s="52" t="s">
        <v>93</v>
      </c>
      <c r="E28" s="15"/>
      <c r="F28" s="15"/>
      <c r="G28" s="15"/>
      <c r="H28" s="15"/>
      <c r="I28" s="15"/>
      <c r="J28" s="15"/>
      <c r="K28" s="15"/>
      <c r="L28" s="15"/>
      <c r="M28" s="15"/>
      <c r="N28" s="15"/>
      <c r="O28" s="15"/>
      <c r="P28" s="15"/>
      <c r="Q28" s="15"/>
      <c r="R28" s="15"/>
      <c r="S28" s="15"/>
    </row>
    <row r="29" spans="1:19" s="10" customFormat="1" ht="13" x14ac:dyDescent="0.3">
      <c r="A29" s="126">
        <v>67.400000000000006</v>
      </c>
      <c r="B29" s="10" t="s">
        <v>94</v>
      </c>
    </row>
    <row r="30" spans="1:19" x14ac:dyDescent="0.35">
      <c r="E30" s="10"/>
      <c r="F30" s="10"/>
      <c r="G30" s="10"/>
      <c r="H30" s="10"/>
      <c r="I30" s="10"/>
      <c r="J30" s="10"/>
      <c r="K30" s="10"/>
      <c r="L30" s="10"/>
      <c r="M30" s="10"/>
      <c r="N30" s="10"/>
      <c r="O30" s="10"/>
      <c r="P30" s="10"/>
      <c r="Q30" s="10"/>
      <c r="R30" s="10"/>
      <c r="S30" s="10"/>
    </row>
    <row r="31" spans="1:19" s="48" customFormat="1" ht="28.5" customHeight="1" x14ac:dyDescent="0.45">
      <c r="A31" s="51" t="s">
        <v>96</v>
      </c>
      <c r="E31" s="15"/>
      <c r="F31" s="15"/>
      <c r="G31" s="15"/>
      <c r="H31" s="15"/>
      <c r="I31" s="15"/>
      <c r="J31" s="15"/>
      <c r="K31" s="15"/>
      <c r="L31" s="15"/>
      <c r="M31" s="15"/>
      <c r="N31" s="15"/>
      <c r="O31" s="15"/>
      <c r="P31" s="15"/>
      <c r="Q31" s="15"/>
      <c r="R31" s="15"/>
      <c r="S31" s="15"/>
    </row>
    <row r="32" spans="1:19" s="10" customFormat="1" ht="13" x14ac:dyDescent="0.3">
      <c r="A32" s="10" t="s">
        <v>135</v>
      </c>
    </row>
    <row r="33" spans="1:19" s="10" customFormat="1" ht="13" x14ac:dyDescent="0.3">
      <c r="B33" s="10" t="s">
        <v>41</v>
      </c>
    </row>
    <row r="34" spans="1:19" s="10" customFormat="1" ht="13" x14ac:dyDescent="0.3">
      <c r="C34" s="10" t="s">
        <v>136</v>
      </c>
    </row>
    <row r="35" spans="1:19" s="10" customFormat="1" ht="13" x14ac:dyDescent="0.3">
      <c r="A35" s="11"/>
      <c r="B35" s="11"/>
      <c r="C35" s="11"/>
      <c r="D35" s="10" t="s">
        <v>137</v>
      </c>
      <c r="E35" s="11"/>
      <c r="F35" s="11"/>
    </row>
    <row r="36" spans="1:19" s="10" customFormat="1" ht="13" x14ac:dyDescent="0.3"/>
    <row r="37" spans="1:19" x14ac:dyDescent="0.35">
      <c r="A37" s="10"/>
      <c r="B37" s="10"/>
      <c r="C37" s="10"/>
      <c r="D37" s="10"/>
      <c r="E37" s="10"/>
      <c r="F37" s="10"/>
      <c r="G37" s="10"/>
      <c r="H37" s="10"/>
      <c r="I37" s="10"/>
      <c r="J37" s="10"/>
      <c r="K37" s="10"/>
      <c r="L37" s="10"/>
      <c r="M37" s="10"/>
      <c r="N37" s="10"/>
      <c r="O37" s="10"/>
      <c r="P37" s="10"/>
      <c r="Q37" s="10"/>
      <c r="R37" s="10"/>
      <c r="S37" s="10"/>
    </row>
    <row r="38" spans="1:19" x14ac:dyDescent="0.35">
      <c r="A38" s="10"/>
      <c r="B38" s="10"/>
      <c r="C38" s="10"/>
      <c r="D38" s="10"/>
      <c r="E38" s="10"/>
      <c r="F38" s="10"/>
      <c r="G38" s="10"/>
      <c r="H38" s="10"/>
      <c r="I38" s="10"/>
      <c r="J38" s="10"/>
      <c r="K38" s="10"/>
      <c r="L38" s="10"/>
      <c r="M38" s="10"/>
      <c r="N38" s="10"/>
      <c r="O38" s="10"/>
      <c r="P38" s="10"/>
      <c r="Q38" s="10"/>
      <c r="R38" s="10"/>
      <c r="S38" s="10"/>
    </row>
  </sheetData>
  <pageMargins left="0.70866141732283472" right="0.70866141732283472" top="0.74803149606299213" bottom="0.74803149606299213" header="0.31496062992125984" footer="0.31496062992125984"/>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83"/>
  <sheetViews>
    <sheetView zoomScaleNormal="100" workbookViewId="0">
      <selection activeCell="D3" sqref="D3"/>
    </sheetView>
  </sheetViews>
  <sheetFormatPr defaultColWidth="8.81640625" defaultRowHeight="15.5" x14ac:dyDescent="0.35"/>
  <cols>
    <col min="1" max="1" width="32.7265625" style="6" customWidth="1"/>
    <col min="2" max="2" width="21.81640625" style="6" customWidth="1"/>
    <col min="3" max="3" width="12.7265625" style="1" customWidth="1"/>
    <col min="4" max="13" width="9.54296875" style="3" customWidth="1"/>
    <col min="14" max="16384" width="8.81640625" style="6"/>
  </cols>
  <sheetData>
    <row r="1" spans="1:13" s="55" customFormat="1" ht="30.75" customHeight="1" x14ac:dyDescent="0.35">
      <c r="A1" s="54" t="str">
        <f>'Intro &amp; Audits'!A1</f>
        <v>Worked Example - A Preliminary Assessment of a Project - www.economicevaluation.com.au</v>
      </c>
      <c r="B1" s="54"/>
      <c r="C1" s="54"/>
      <c r="D1" s="54"/>
    </row>
    <row r="2" spans="1:13" s="21" customFormat="1" ht="21" customHeight="1" x14ac:dyDescent="0.35">
      <c r="A2" s="56" t="s">
        <v>37</v>
      </c>
    </row>
    <row r="3" spans="1:13" s="33" customFormat="1" ht="48" customHeight="1" x14ac:dyDescent="0.35">
      <c r="A3" s="18" t="s">
        <v>141</v>
      </c>
      <c r="C3" s="57"/>
      <c r="D3" s="58"/>
      <c r="E3" s="58"/>
      <c r="F3" s="58"/>
      <c r="G3" s="58"/>
      <c r="H3" s="58"/>
      <c r="I3" s="58"/>
      <c r="J3" s="58"/>
      <c r="K3" s="58"/>
      <c r="L3" s="58"/>
      <c r="M3" s="58"/>
    </row>
    <row r="4" spans="1:13" x14ac:dyDescent="0.35">
      <c r="A4" s="75" t="s">
        <v>9</v>
      </c>
      <c r="D4" s="1"/>
      <c r="E4" s="1"/>
      <c r="F4" s="1"/>
      <c r="G4" s="1"/>
      <c r="H4" s="1"/>
      <c r="I4" s="1"/>
      <c r="J4" s="1"/>
      <c r="K4" s="1"/>
      <c r="L4" s="1"/>
      <c r="M4" s="1"/>
    </row>
    <row r="5" spans="1:13" s="21" customFormat="1" x14ac:dyDescent="0.35">
      <c r="A5" s="64" t="str">
        <f>A81</f>
        <v>Ore mined</v>
      </c>
      <c r="B5" s="64" t="str">
        <f t="shared" ref="B5:C5" si="0">B81</f>
        <v>000 tonnes</v>
      </c>
      <c r="C5" s="65">
        <f t="shared" si="0"/>
        <v>8800</v>
      </c>
      <c r="D5" s="20"/>
      <c r="E5" s="20"/>
      <c r="F5" s="20"/>
      <c r="G5" s="20"/>
      <c r="H5" s="20"/>
      <c r="I5" s="20"/>
      <c r="J5" s="20"/>
      <c r="K5" s="20"/>
      <c r="L5" s="20"/>
      <c r="M5" s="20"/>
    </row>
    <row r="6" spans="1:13" s="21" customFormat="1" x14ac:dyDescent="0.35">
      <c r="A6" s="64" t="str">
        <f>A82</f>
        <v xml:space="preserve">Head Grade - acid soluble copper </v>
      </c>
      <c r="B6" s="64" t="str">
        <f t="shared" ref="B6:C6" si="1">B82</f>
        <v xml:space="preserve">% Cu </v>
      </c>
      <c r="C6" s="149">
        <f t="shared" si="1"/>
        <v>2.3306818181818182E-2</v>
      </c>
      <c r="D6" s="20"/>
      <c r="E6" s="20"/>
      <c r="F6" s="20"/>
      <c r="G6" s="20"/>
      <c r="H6" s="20"/>
      <c r="I6" s="20"/>
      <c r="J6" s="20"/>
      <c r="K6" s="20"/>
      <c r="L6" s="20"/>
      <c r="M6" s="20"/>
    </row>
    <row r="7" spans="1:13" s="21" customFormat="1" x14ac:dyDescent="0.35">
      <c r="A7" s="64" t="str">
        <f>A85</f>
        <v>Recovery of soluble copper in processing and SX-EW</v>
      </c>
      <c r="B7" s="64" t="str">
        <f t="shared" ref="B7:C7" si="2">B85</f>
        <v xml:space="preserve">% Cu </v>
      </c>
      <c r="C7" s="149">
        <f t="shared" si="2"/>
        <v>0.88734763529985394</v>
      </c>
      <c r="D7" s="20"/>
      <c r="E7" s="20"/>
      <c r="F7" s="20"/>
      <c r="G7" s="20"/>
      <c r="H7" s="20"/>
      <c r="I7" s="20"/>
      <c r="J7" s="20"/>
      <c r="K7" s="20"/>
      <c r="L7" s="20"/>
      <c r="M7" s="20"/>
    </row>
    <row r="8" spans="1:13" s="21" customFormat="1" x14ac:dyDescent="0.35">
      <c r="A8" s="155" t="str">
        <f>A86</f>
        <v>Output and Sales of Cathode Copper</v>
      </c>
      <c r="B8" s="155" t="str">
        <f t="shared" ref="B8:C8" si="3">B86</f>
        <v>000 tonnes</v>
      </c>
      <c r="C8" s="23">
        <f t="shared" si="3"/>
        <v>181.99500000000003</v>
      </c>
      <c r="D8" s="20"/>
      <c r="E8" s="20"/>
      <c r="F8" s="20"/>
      <c r="G8" s="20"/>
      <c r="H8" s="20"/>
      <c r="I8" s="20"/>
      <c r="J8" s="20"/>
      <c r="K8" s="20"/>
      <c r="L8" s="20"/>
      <c r="M8" s="20"/>
    </row>
    <row r="9" spans="1:13" x14ac:dyDescent="0.35">
      <c r="A9" s="75" t="s">
        <v>163</v>
      </c>
      <c r="D9" s="1"/>
      <c r="E9" s="1"/>
      <c r="F9" s="1"/>
      <c r="G9" s="1"/>
      <c r="H9" s="1"/>
      <c r="I9" s="1"/>
      <c r="J9" s="1"/>
      <c r="K9" s="1"/>
      <c r="L9" s="1"/>
      <c r="M9" s="1"/>
    </row>
    <row r="10" spans="1:13" s="21" customFormat="1" x14ac:dyDescent="0.35">
      <c r="A10" s="64" t="str">
        <f>A96</f>
        <v>Major Development Capex</v>
      </c>
      <c r="B10" s="64" t="str">
        <f t="shared" ref="B10:C10" si="4">B96</f>
        <v>US$ millions real</v>
      </c>
      <c r="C10" s="65">
        <f t="shared" si="4"/>
        <v>280</v>
      </c>
      <c r="D10" s="20"/>
      <c r="E10" s="20"/>
      <c r="F10" s="20"/>
      <c r="G10" s="20"/>
      <c r="H10" s="20"/>
      <c r="I10" s="20"/>
      <c r="J10" s="20"/>
      <c r="K10" s="20"/>
      <c r="L10" s="20"/>
      <c r="M10" s="20"/>
    </row>
    <row r="11" spans="1:13" s="21" customFormat="1" x14ac:dyDescent="0.35">
      <c r="A11" s="64" t="str">
        <f>A148</f>
        <v>opex per tonne ore</v>
      </c>
      <c r="B11" s="64" t="str">
        <f t="shared" ref="B11:C11" si="5">B148</f>
        <v>US$/tonne ore</v>
      </c>
      <c r="C11" s="65">
        <f t="shared" si="5"/>
        <v>80.58087918352274</v>
      </c>
      <c r="D11" s="20"/>
      <c r="E11" s="20"/>
      <c r="F11" s="20"/>
      <c r="G11" s="20"/>
      <c r="H11" s="20"/>
      <c r="I11" s="20"/>
      <c r="J11" s="20"/>
      <c r="K11" s="20"/>
      <c r="L11" s="20"/>
      <c r="M11" s="20"/>
    </row>
    <row r="12" spans="1:13" s="21" customFormat="1" x14ac:dyDescent="0.35">
      <c r="A12" s="75" t="s">
        <v>164</v>
      </c>
      <c r="B12" s="64"/>
      <c r="C12" s="149"/>
      <c r="D12" s="20"/>
      <c r="E12" s="20"/>
      <c r="F12" s="20"/>
      <c r="G12" s="20"/>
      <c r="H12" s="20"/>
      <c r="I12" s="20"/>
      <c r="J12" s="20"/>
      <c r="K12" s="20"/>
      <c r="L12" s="20"/>
      <c r="M12" s="20"/>
    </row>
    <row r="13" spans="1:13" s="19" customFormat="1" ht="13" x14ac:dyDescent="0.35">
      <c r="A13" s="132" t="str">
        <f>A210</f>
        <v>Cashstream 1: Revenue</v>
      </c>
      <c r="B13" s="133" t="str">
        <f t="shared" ref="B13:C13" si="6">B210</f>
        <v>US$ millions real</v>
      </c>
      <c r="C13" s="134">
        <f t="shared" si="6"/>
        <v>1524.6594726000001</v>
      </c>
      <c r="D13" s="62"/>
      <c r="E13" s="62"/>
      <c r="F13" s="62"/>
      <c r="G13" s="62"/>
      <c r="H13" s="62"/>
      <c r="I13" s="62"/>
      <c r="J13" s="62"/>
      <c r="K13" s="62"/>
      <c r="L13" s="62"/>
      <c r="M13" s="62"/>
    </row>
    <row r="14" spans="1:13" s="19" customFormat="1" ht="13" x14ac:dyDescent="0.35">
      <c r="A14" s="132" t="str">
        <f>A211</f>
        <v>Cashstream 2: Capital Costs</v>
      </c>
      <c r="B14" s="133" t="str">
        <f t="shared" ref="B14:C17" si="7">B211</f>
        <v>US$ millions real</v>
      </c>
      <c r="C14" s="134">
        <f t="shared" si="7"/>
        <v>378</v>
      </c>
      <c r="D14" s="62"/>
      <c r="E14" s="62"/>
      <c r="F14" s="62"/>
      <c r="G14" s="62"/>
      <c r="H14" s="62"/>
      <c r="I14" s="62"/>
      <c r="J14" s="62"/>
      <c r="K14" s="62"/>
      <c r="L14" s="62"/>
      <c r="M14" s="62"/>
    </row>
    <row r="15" spans="1:13" s="19" customFormat="1" ht="13" x14ac:dyDescent="0.35">
      <c r="A15" s="132" t="str">
        <f>A212</f>
        <v>Cashstream 3: Operating Costs</v>
      </c>
      <c r="B15" s="133" t="str">
        <f t="shared" si="7"/>
        <v>US$ millions real</v>
      </c>
      <c r="C15" s="134">
        <f t="shared" si="7"/>
        <v>709.11173681500009</v>
      </c>
      <c r="D15" s="62"/>
      <c r="E15" s="62"/>
      <c r="F15" s="62"/>
      <c r="G15" s="62"/>
      <c r="H15" s="62"/>
      <c r="I15" s="62"/>
      <c r="J15" s="62"/>
      <c r="K15" s="62"/>
      <c r="L15" s="62"/>
      <c r="M15" s="62"/>
    </row>
    <row r="16" spans="1:13" s="19" customFormat="1" ht="13" x14ac:dyDescent="0.35">
      <c r="A16" s="132" t="str">
        <f>A213</f>
        <v>Cashstream 4: Taxes</v>
      </c>
      <c r="B16" s="133" t="str">
        <f t="shared" si="7"/>
        <v>US$ millions real</v>
      </c>
      <c r="C16" s="134">
        <f t="shared" si="7"/>
        <v>214.41279871650002</v>
      </c>
      <c r="D16" s="62"/>
      <c r="E16" s="62"/>
      <c r="F16" s="62"/>
      <c r="G16" s="62"/>
      <c r="H16" s="62"/>
      <c r="I16" s="62"/>
      <c r="J16" s="62"/>
      <c r="K16" s="62"/>
      <c r="L16" s="62"/>
      <c r="M16" s="62"/>
    </row>
    <row r="17" spans="1:13" s="136" customFormat="1" x14ac:dyDescent="0.35">
      <c r="A17" s="152" t="str">
        <f>A214</f>
        <v>Cash Generation &amp; NPV</v>
      </c>
      <c r="B17" s="153" t="str">
        <f t="shared" si="7"/>
        <v>US$ millions real</v>
      </c>
      <c r="C17" s="154">
        <f t="shared" si="7"/>
        <v>223.13493706850005</v>
      </c>
      <c r="D17" s="135"/>
      <c r="E17" s="135"/>
      <c r="F17" s="135"/>
      <c r="G17" s="135"/>
      <c r="H17" s="135"/>
      <c r="I17" s="135"/>
      <c r="J17" s="135"/>
      <c r="K17" s="135"/>
      <c r="L17" s="135"/>
      <c r="M17" s="135"/>
    </row>
    <row r="18" spans="1:13" s="21" customFormat="1" x14ac:dyDescent="0.35">
      <c r="A18" s="75" t="s">
        <v>165</v>
      </c>
      <c r="B18" s="60"/>
      <c r="C18" s="23"/>
      <c r="D18" s="20"/>
      <c r="E18" s="20"/>
      <c r="F18" s="20"/>
      <c r="G18" s="20"/>
      <c r="H18" s="20"/>
      <c r="I18" s="20"/>
      <c r="J18" s="20"/>
      <c r="K18" s="20"/>
      <c r="L18" s="20"/>
      <c r="M18" s="20"/>
    </row>
    <row r="19" spans="1:13" s="35" customFormat="1" x14ac:dyDescent="0.35">
      <c r="A19" s="36" t="str">
        <f>A217</f>
        <v>IRR   (Internal Rate of Return)</v>
      </c>
      <c r="B19" s="61" t="str">
        <f>B217</f>
        <v>Real</v>
      </c>
      <c r="C19" s="38">
        <f>C217</f>
        <v>0.15777916866350217</v>
      </c>
      <c r="D19" s="34"/>
      <c r="E19" s="34"/>
      <c r="F19" s="34"/>
      <c r="G19" s="34"/>
      <c r="H19" s="34"/>
      <c r="I19" s="34"/>
      <c r="J19" s="34"/>
      <c r="K19" s="34"/>
      <c r="L19" s="34"/>
      <c r="M19" s="34"/>
    </row>
    <row r="20" spans="1:13" s="21" customFormat="1" x14ac:dyDescent="0.35">
      <c r="A20" s="59" t="str">
        <f>A227</f>
        <v>NPV  (Net Present Value)</v>
      </c>
      <c r="B20" s="60" t="str">
        <f>B227</f>
        <v>US$ millions real</v>
      </c>
      <c r="C20" s="23">
        <f>C227</f>
        <v>81.450663274799808</v>
      </c>
      <c r="D20" s="20"/>
      <c r="E20" s="20"/>
      <c r="F20" s="20"/>
      <c r="G20" s="20"/>
      <c r="H20" s="20"/>
      <c r="I20" s="20"/>
      <c r="J20" s="20"/>
      <c r="K20" s="20"/>
      <c r="L20" s="20"/>
      <c r="M20" s="20"/>
    </row>
    <row r="21" spans="1:13" s="35" customFormat="1" x14ac:dyDescent="0.35">
      <c r="A21" s="36" t="s">
        <v>143</v>
      </c>
      <c r="B21" s="61" t="s">
        <v>81</v>
      </c>
      <c r="C21" s="39" t="s">
        <v>79</v>
      </c>
      <c r="D21" s="34"/>
      <c r="E21" s="34"/>
      <c r="F21" s="34"/>
      <c r="G21" s="34"/>
      <c r="H21" s="34"/>
      <c r="I21" s="34"/>
      <c r="J21" s="34"/>
      <c r="K21" s="34"/>
      <c r="L21" s="34"/>
      <c r="M21" s="34"/>
    </row>
    <row r="22" spans="1:13" s="35" customFormat="1" x14ac:dyDescent="0.35">
      <c r="A22" s="36"/>
      <c r="B22" s="37"/>
      <c r="C22" s="38"/>
      <c r="D22" s="34"/>
      <c r="E22" s="34"/>
      <c r="F22" s="34"/>
      <c r="G22" s="34"/>
      <c r="H22" s="34"/>
      <c r="I22" s="34"/>
      <c r="J22" s="34"/>
      <c r="K22" s="34"/>
      <c r="L22" s="34"/>
      <c r="M22" s="34"/>
    </row>
    <row r="23" spans="1:13" s="21" customFormat="1" ht="32.5" customHeight="1" x14ac:dyDescent="0.35">
      <c r="A23" s="18" t="s">
        <v>142</v>
      </c>
      <c r="C23" s="137"/>
      <c r="D23" s="20"/>
      <c r="E23" s="20"/>
      <c r="F23" s="20"/>
      <c r="G23" s="20"/>
      <c r="H23" s="20"/>
      <c r="I23" s="20"/>
      <c r="J23" s="20"/>
      <c r="K23" s="20"/>
      <c r="L23" s="20"/>
      <c r="M23" s="20"/>
    </row>
    <row r="24" spans="1:13" x14ac:dyDescent="0.35">
      <c r="A24" s="24"/>
      <c r="D24" s="1"/>
      <c r="E24" s="1"/>
      <c r="F24" s="1"/>
      <c r="G24" s="1"/>
      <c r="H24" s="1"/>
      <c r="I24" s="1"/>
      <c r="J24" s="1"/>
      <c r="K24" s="1"/>
      <c r="L24" s="1"/>
      <c r="M24" s="1"/>
    </row>
    <row r="25" spans="1:13" ht="17.25" customHeight="1" x14ac:dyDescent="0.35">
      <c r="A25" s="7"/>
      <c r="C25" s="25"/>
    </row>
    <row r="26" spans="1:13" ht="17.25" customHeight="1" x14ac:dyDescent="0.35">
      <c r="A26" s="7"/>
      <c r="C26" s="25"/>
    </row>
    <row r="27" spans="1:13" ht="17.25" customHeight="1" x14ac:dyDescent="0.35">
      <c r="A27" s="7"/>
      <c r="C27" s="25"/>
    </row>
    <row r="28" spans="1:13" ht="17.25" customHeight="1" x14ac:dyDescent="0.35">
      <c r="A28" s="7"/>
      <c r="C28" s="25"/>
    </row>
    <row r="29" spans="1:13" ht="17.25" customHeight="1" x14ac:dyDescent="0.35">
      <c r="A29" s="7"/>
      <c r="C29" s="25"/>
    </row>
    <row r="30" spans="1:13" ht="17.25" customHeight="1" x14ac:dyDescent="0.35">
      <c r="A30" s="7"/>
      <c r="C30" s="25"/>
    </row>
    <row r="31" spans="1:13" ht="17" customHeight="1" x14ac:dyDescent="0.35">
      <c r="A31" s="7"/>
      <c r="C31" s="25"/>
    </row>
    <row r="32" spans="1:13" ht="17.25" customHeight="1" x14ac:dyDescent="0.35">
      <c r="A32" s="7"/>
      <c r="C32" s="25"/>
    </row>
    <row r="33" spans="1:19" ht="17.25" customHeight="1" x14ac:dyDescent="0.35">
      <c r="A33" s="7"/>
      <c r="C33" s="25"/>
    </row>
    <row r="34" spans="1:19" ht="17.25" customHeight="1" x14ac:dyDescent="0.35">
      <c r="A34" s="7"/>
      <c r="C34" s="25"/>
    </row>
    <row r="35" spans="1:19" ht="17.25" customHeight="1" x14ac:dyDescent="0.35">
      <c r="A35" s="7"/>
      <c r="C35" s="25"/>
    </row>
    <row r="36" spans="1:19" ht="17.25" customHeight="1" x14ac:dyDescent="0.35">
      <c r="A36" s="7"/>
      <c r="C36" s="25"/>
    </row>
    <row r="37" spans="1:19" ht="17.25" customHeight="1" x14ac:dyDescent="0.35">
      <c r="A37" s="7"/>
      <c r="C37" s="25"/>
      <c r="E37" s="129"/>
    </row>
    <row r="38" spans="1:19" ht="17.25" customHeight="1" x14ac:dyDescent="0.35">
      <c r="A38" s="7"/>
      <c r="C38" s="25"/>
    </row>
    <row r="39" spans="1:19" ht="17.25" customHeight="1" x14ac:dyDescent="0.35">
      <c r="A39" s="7"/>
      <c r="C39" s="25"/>
    </row>
    <row r="40" spans="1:19" ht="17.25" customHeight="1" x14ac:dyDescent="0.35">
      <c r="A40" s="7"/>
      <c r="C40" s="25"/>
    </row>
    <row r="41" spans="1:19" ht="17.25" customHeight="1" x14ac:dyDescent="0.35">
      <c r="A41" s="7"/>
      <c r="C41" s="25"/>
    </row>
    <row r="42" spans="1:19" ht="17.25" customHeight="1" x14ac:dyDescent="0.35">
      <c r="A42" s="7"/>
      <c r="C42" s="25"/>
    </row>
    <row r="43" spans="1:19" ht="17.25" customHeight="1" x14ac:dyDescent="0.35">
      <c r="A43" s="7"/>
      <c r="C43" s="25"/>
    </row>
    <row r="44" spans="1:19" ht="17.25" customHeight="1" x14ac:dyDescent="0.35">
      <c r="A44" s="7"/>
      <c r="C44" s="25"/>
    </row>
    <row r="45" spans="1:19" ht="17.25" customHeight="1" x14ac:dyDescent="0.35">
      <c r="A45" s="7"/>
      <c r="C45" s="25"/>
    </row>
    <row r="46" spans="1:19" ht="17.25" customHeight="1" x14ac:dyDescent="0.35">
      <c r="A46" s="7"/>
      <c r="C46" s="25"/>
    </row>
    <row r="47" spans="1:19" ht="17.25" customHeight="1" x14ac:dyDescent="0.35">
      <c r="A47" s="7"/>
      <c r="C47" s="25"/>
    </row>
    <row r="48" spans="1:19" ht="17.25" customHeight="1" x14ac:dyDescent="0.35">
      <c r="A48" s="7"/>
      <c r="C48" s="25"/>
      <c r="P48" s="3"/>
      <c r="R48" s="3"/>
      <c r="S48" s="26"/>
    </row>
    <row r="49" spans="1:19" ht="17.25" customHeight="1" x14ac:dyDescent="0.35">
      <c r="A49" s="7"/>
      <c r="C49" s="25"/>
      <c r="P49" s="3"/>
      <c r="R49" s="3"/>
      <c r="S49" s="26"/>
    </row>
    <row r="50" spans="1:19" ht="17.25" customHeight="1" x14ac:dyDescent="0.35">
      <c r="A50" s="7"/>
      <c r="C50" s="25"/>
      <c r="P50" s="3"/>
      <c r="R50" s="3"/>
      <c r="S50" s="26"/>
    </row>
    <row r="51" spans="1:19" ht="17.25" customHeight="1" x14ac:dyDescent="0.35">
      <c r="A51" s="7"/>
      <c r="C51" s="25"/>
    </row>
    <row r="52" spans="1:19" ht="17.25" customHeight="1" x14ac:dyDescent="0.35">
      <c r="A52" s="7"/>
      <c r="C52" s="25"/>
    </row>
    <row r="53" spans="1:19" ht="17.25" customHeight="1" x14ac:dyDescent="0.35">
      <c r="A53" s="7"/>
      <c r="C53" s="25"/>
    </row>
    <row r="54" spans="1:19" ht="17.25" customHeight="1" x14ac:dyDescent="0.35">
      <c r="A54" s="7"/>
      <c r="C54" s="25"/>
    </row>
    <row r="55" spans="1:19" ht="17.25" customHeight="1" x14ac:dyDescent="0.35">
      <c r="A55" s="7"/>
      <c r="C55" s="25"/>
    </row>
    <row r="56" spans="1:19" ht="17.25" customHeight="1" x14ac:dyDescent="0.35">
      <c r="A56" s="7"/>
      <c r="C56" s="25"/>
    </row>
    <row r="57" spans="1:19" ht="17.25" customHeight="1" x14ac:dyDescent="0.35">
      <c r="A57" s="7"/>
      <c r="C57" s="25"/>
    </row>
    <row r="58" spans="1:19" ht="17.25" customHeight="1" x14ac:dyDescent="0.35">
      <c r="A58" s="7"/>
      <c r="C58" s="25"/>
    </row>
    <row r="59" spans="1:19" ht="17.25" customHeight="1" x14ac:dyDescent="0.35">
      <c r="A59" s="7"/>
      <c r="C59" s="25"/>
    </row>
    <row r="60" spans="1:19" ht="17.25" customHeight="1" x14ac:dyDescent="0.35">
      <c r="A60" s="7"/>
      <c r="C60" s="25"/>
    </row>
    <row r="61" spans="1:19" ht="17.25" customHeight="1" x14ac:dyDescent="0.35">
      <c r="A61" s="7"/>
      <c r="C61" s="25"/>
    </row>
    <row r="62" spans="1:19" ht="17.25" customHeight="1" x14ac:dyDescent="0.35">
      <c r="A62" s="7"/>
      <c r="C62" s="25"/>
      <c r="H62" s="26"/>
    </row>
    <row r="63" spans="1:19" ht="17.25" customHeight="1" x14ac:dyDescent="0.35">
      <c r="A63" s="7"/>
      <c r="C63" s="25"/>
    </row>
    <row r="64" spans="1:19" ht="17.25" customHeight="1" x14ac:dyDescent="0.35">
      <c r="A64" s="7"/>
      <c r="C64" s="25"/>
    </row>
    <row r="65" spans="1:13" ht="17.25" customHeight="1" x14ac:dyDescent="0.35">
      <c r="A65" s="7"/>
      <c r="C65" s="25"/>
    </row>
    <row r="66" spans="1:13" ht="17.25" customHeight="1" x14ac:dyDescent="0.35">
      <c r="A66" s="7"/>
      <c r="C66" s="25"/>
    </row>
    <row r="67" spans="1:13" ht="17.25" customHeight="1" x14ac:dyDescent="0.35">
      <c r="A67" s="7"/>
      <c r="C67" s="25"/>
    </row>
    <row r="68" spans="1:13" ht="17.25" customHeight="1" x14ac:dyDescent="0.35">
      <c r="A68" s="7"/>
      <c r="C68" s="25"/>
    </row>
    <row r="69" spans="1:13" ht="17.25" customHeight="1" x14ac:dyDescent="0.35">
      <c r="A69" s="7"/>
      <c r="C69" s="25"/>
    </row>
    <row r="70" spans="1:13" ht="17.25" customHeight="1" x14ac:dyDescent="0.35">
      <c r="A70" s="7"/>
      <c r="C70" s="25"/>
    </row>
    <row r="71" spans="1:13" ht="17.25" customHeight="1" x14ac:dyDescent="0.35">
      <c r="A71" s="7"/>
      <c r="C71" s="25"/>
    </row>
    <row r="72" spans="1:13" ht="17.25" customHeight="1" x14ac:dyDescent="0.35">
      <c r="A72" s="7"/>
      <c r="C72" s="25"/>
    </row>
    <row r="73" spans="1:13" ht="17.25" customHeight="1" x14ac:dyDescent="0.35">
      <c r="A73" s="7"/>
      <c r="C73" s="25"/>
    </row>
    <row r="74" spans="1:13" ht="17.25" customHeight="1" x14ac:dyDescent="0.35">
      <c r="A74" s="7"/>
      <c r="C74" s="25"/>
    </row>
    <row r="75" spans="1:13" ht="17.25" customHeight="1" x14ac:dyDescent="0.35">
      <c r="A75" s="7"/>
      <c r="C75" s="25"/>
    </row>
    <row r="76" spans="1:13" s="72" customFormat="1" ht="15" customHeight="1" x14ac:dyDescent="0.35">
      <c r="A76" s="68" t="s">
        <v>40</v>
      </c>
      <c r="B76" s="69" t="s">
        <v>7</v>
      </c>
      <c r="C76" s="70" t="s">
        <v>8</v>
      </c>
      <c r="D76" s="71">
        <v>2027</v>
      </c>
      <c r="E76" s="71">
        <f>D76+1</f>
        <v>2028</v>
      </c>
      <c r="F76" s="71">
        <f t="shared" ref="F76:M76" si="8">E76+1</f>
        <v>2029</v>
      </c>
      <c r="G76" s="71">
        <f t="shared" si="8"/>
        <v>2030</v>
      </c>
      <c r="H76" s="71">
        <f t="shared" si="8"/>
        <v>2031</v>
      </c>
      <c r="I76" s="71">
        <f t="shared" si="8"/>
        <v>2032</v>
      </c>
      <c r="J76" s="71">
        <f t="shared" si="8"/>
        <v>2033</v>
      </c>
      <c r="K76" s="71">
        <f t="shared" si="8"/>
        <v>2034</v>
      </c>
      <c r="L76" s="71">
        <f t="shared" si="8"/>
        <v>2035</v>
      </c>
      <c r="M76" s="71">
        <f t="shared" si="8"/>
        <v>2036</v>
      </c>
    </row>
    <row r="77" spans="1:13" s="72" customFormat="1" ht="32.25" customHeight="1" x14ac:dyDescent="0.35">
      <c r="A77" s="73" t="s">
        <v>6</v>
      </c>
      <c r="C77" s="74"/>
      <c r="D77" s="74"/>
      <c r="E77" s="74"/>
      <c r="F77" s="74"/>
      <c r="G77" s="74"/>
      <c r="H77" s="74"/>
      <c r="I77" s="74"/>
      <c r="J77" s="74"/>
      <c r="K77" s="74"/>
      <c r="L77" s="74"/>
      <c r="M77" s="74"/>
    </row>
    <row r="78" spans="1:13" x14ac:dyDescent="0.35">
      <c r="A78" s="75" t="s">
        <v>9</v>
      </c>
      <c r="D78" s="1"/>
      <c r="E78" s="1"/>
      <c r="F78" s="1"/>
      <c r="G78" s="1"/>
      <c r="H78" s="1"/>
      <c r="I78" s="1"/>
      <c r="J78" s="1"/>
      <c r="K78" s="1"/>
      <c r="L78" s="1"/>
      <c r="M78" s="1"/>
    </row>
    <row r="79" spans="1:13" s="10" customFormat="1" ht="13" x14ac:dyDescent="0.3">
      <c r="A79" s="40" t="s">
        <v>149</v>
      </c>
      <c r="C79" s="12"/>
      <c r="D79" s="12"/>
      <c r="E79" s="12"/>
      <c r="F79" s="12"/>
      <c r="G79" s="12"/>
      <c r="H79" s="12"/>
      <c r="I79" s="12"/>
      <c r="J79" s="12"/>
      <c r="K79" s="12"/>
      <c r="L79" s="12"/>
      <c r="M79" s="12"/>
    </row>
    <row r="80" spans="1:13" s="10" customFormat="1" ht="13" x14ac:dyDescent="0.3">
      <c r="A80" s="76" t="s">
        <v>44</v>
      </c>
      <c r="B80" s="76" t="s">
        <v>46</v>
      </c>
      <c r="C80" s="77">
        <f>SUM(D80:M80)</f>
        <v>15000</v>
      </c>
      <c r="D80" s="78"/>
      <c r="E80" s="78">
        <v>3000</v>
      </c>
      <c r="F80" s="78">
        <v>3000</v>
      </c>
      <c r="G80" s="78">
        <v>2500</v>
      </c>
      <c r="H80" s="78">
        <v>2500</v>
      </c>
      <c r="I80" s="78">
        <v>2500</v>
      </c>
      <c r="J80" s="78">
        <v>1000</v>
      </c>
      <c r="K80" s="78">
        <v>500</v>
      </c>
      <c r="L80" s="78"/>
      <c r="M80" s="78"/>
    </row>
    <row r="81" spans="1:27" s="10" customFormat="1" ht="13" x14ac:dyDescent="0.3">
      <c r="A81" s="76" t="s">
        <v>45</v>
      </c>
      <c r="B81" s="76" t="s">
        <v>46</v>
      </c>
      <c r="C81" s="77">
        <f>SUM(D81:M81)</f>
        <v>8800</v>
      </c>
      <c r="D81" s="78"/>
      <c r="E81" s="78"/>
      <c r="F81" s="78">
        <v>800</v>
      </c>
      <c r="G81" s="78">
        <v>1500</v>
      </c>
      <c r="H81" s="78">
        <v>1500</v>
      </c>
      <c r="I81" s="78">
        <v>1500</v>
      </c>
      <c r="J81" s="78">
        <v>1500</v>
      </c>
      <c r="K81" s="78">
        <v>1500</v>
      </c>
      <c r="L81" s="78">
        <v>500</v>
      </c>
      <c r="M81" s="78"/>
    </row>
    <row r="82" spans="1:27" s="10" customFormat="1" ht="13" x14ac:dyDescent="0.3">
      <c r="A82" s="76" t="s">
        <v>47</v>
      </c>
      <c r="B82" s="76" t="s">
        <v>48</v>
      </c>
      <c r="C82" s="138">
        <f>C83/C81</f>
        <v>2.3306818181818182E-2</v>
      </c>
      <c r="D82" s="79"/>
      <c r="E82" s="79"/>
      <c r="F82" s="79">
        <v>1.7000000000000001E-2</v>
      </c>
      <c r="G82" s="79">
        <v>2.5000000000000001E-2</v>
      </c>
      <c r="H82" s="79">
        <v>2.1999999999999999E-2</v>
      </c>
      <c r="I82" s="79">
        <v>2.5999999999999999E-2</v>
      </c>
      <c r="J82" s="79">
        <v>2.3E-2</v>
      </c>
      <c r="K82" s="79">
        <v>2.3E-2</v>
      </c>
      <c r="L82" s="79">
        <v>2.5999999999999999E-2</v>
      </c>
      <c r="M82" s="79"/>
    </row>
    <row r="83" spans="1:27" s="10" customFormat="1" ht="13" x14ac:dyDescent="0.3">
      <c r="A83" s="63" t="s">
        <v>49</v>
      </c>
      <c r="B83" s="10" t="s">
        <v>46</v>
      </c>
      <c r="C83" s="77">
        <f>SUM(D83:M83)</f>
        <v>205.1</v>
      </c>
      <c r="D83" s="80">
        <f>D81*D82</f>
        <v>0</v>
      </c>
      <c r="E83" s="80">
        <f t="shared" ref="E83:M83" si="9">E81*E82</f>
        <v>0</v>
      </c>
      <c r="F83" s="80">
        <f t="shared" si="9"/>
        <v>13.600000000000001</v>
      </c>
      <c r="G83" s="80">
        <f t="shared" si="9"/>
        <v>37.5</v>
      </c>
      <c r="H83" s="80">
        <f t="shared" si="9"/>
        <v>33</v>
      </c>
      <c r="I83" s="80">
        <f t="shared" si="9"/>
        <v>39</v>
      </c>
      <c r="J83" s="80">
        <f t="shared" si="9"/>
        <v>34.5</v>
      </c>
      <c r="K83" s="80">
        <f t="shared" si="9"/>
        <v>34.5</v>
      </c>
      <c r="L83" s="80">
        <f t="shared" si="9"/>
        <v>13</v>
      </c>
      <c r="M83" s="80">
        <f t="shared" si="9"/>
        <v>0</v>
      </c>
    </row>
    <row r="84" spans="1:27" s="10" customFormat="1" ht="10.5" customHeight="1" thickBot="1" x14ac:dyDescent="0.35">
      <c r="A84" s="63"/>
      <c r="C84" s="80"/>
      <c r="D84" s="80"/>
      <c r="E84" s="80"/>
      <c r="F84" s="80"/>
      <c r="G84" s="80"/>
      <c r="H84" s="80"/>
      <c r="I84" s="80"/>
      <c r="J84" s="80"/>
      <c r="K84" s="80"/>
      <c r="L84" s="80"/>
      <c r="M84" s="80"/>
    </row>
    <row r="85" spans="1:27" s="10" customFormat="1" ht="13.5" thickBot="1" x14ac:dyDescent="0.35">
      <c r="A85" s="76" t="s">
        <v>50</v>
      </c>
      <c r="B85" s="76" t="s">
        <v>48</v>
      </c>
      <c r="C85" s="81">
        <f>C86/C83</f>
        <v>0.88734763529985394</v>
      </c>
      <c r="D85" s="79"/>
      <c r="E85" s="79"/>
      <c r="F85" s="82">
        <v>0.85</v>
      </c>
      <c r="G85" s="82">
        <v>0.89</v>
      </c>
      <c r="H85" s="82">
        <f t="shared" ref="H85:J85" si="10">G85</f>
        <v>0.89</v>
      </c>
      <c r="I85" s="82">
        <f t="shared" si="10"/>
        <v>0.89</v>
      </c>
      <c r="J85" s="82">
        <f t="shared" si="10"/>
        <v>0.89</v>
      </c>
      <c r="K85" s="82">
        <f t="shared" ref="K85" si="11">J85</f>
        <v>0.89</v>
      </c>
      <c r="L85" s="82">
        <f t="shared" ref="L85" si="12">K85</f>
        <v>0.89</v>
      </c>
      <c r="M85" s="82">
        <f t="shared" ref="M85" si="13">L85</f>
        <v>0.89</v>
      </c>
    </row>
    <row r="86" spans="1:27" s="10" customFormat="1" ht="13" x14ac:dyDescent="0.3">
      <c r="A86" s="63" t="s">
        <v>51</v>
      </c>
      <c r="B86" s="10" t="s">
        <v>46</v>
      </c>
      <c r="C86" s="80">
        <f>SUM(D86:M86)</f>
        <v>181.99500000000003</v>
      </c>
      <c r="D86" s="80">
        <f>D83*D85</f>
        <v>0</v>
      </c>
      <c r="E86" s="80">
        <f t="shared" ref="E86:M86" si="14">E83*E85</f>
        <v>0</v>
      </c>
      <c r="F86" s="80">
        <f t="shared" si="14"/>
        <v>11.56</v>
      </c>
      <c r="G86" s="80">
        <f t="shared" si="14"/>
        <v>33.375</v>
      </c>
      <c r="H86" s="80">
        <f t="shared" si="14"/>
        <v>29.37</v>
      </c>
      <c r="I86" s="80">
        <f t="shared" si="14"/>
        <v>34.71</v>
      </c>
      <c r="J86" s="80">
        <f t="shared" si="14"/>
        <v>30.705000000000002</v>
      </c>
      <c r="K86" s="80">
        <f t="shared" si="14"/>
        <v>30.705000000000002</v>
      </c>
      <c r="L86" s="80">
        <f t="shared" si="14"/>
        <v>11.57</v>
      </c>
      <c r="M86" s="80">
        <f t="shared" si="14"/>
        <v>0</v>
      </c>
    </row>
    <row r="87" spans="1:27" x14ac:dyDescent="0.35">
      <c r="A87" s="75" t="s">
        <v>38</v>
      </c>
      <c r="D87" s="1"/>
      <c r="E87" s="1"/>
      <c r="F87" s="1"/>
      <c r="G87" s="1"/>
      <c r="H87" s="1"/>
      <c r="I87" s="1"/>
      <c r="J87" s="1"/>
      <c r="K87" s="1"/>
      <c r="L87" s="1"/>
      <c r="M87" s="1"/>
    </row>
    <row r="88" spans="1:27" s="10" customFormat="1" ht="13" x14ac:dyDescent="0.3">
      <c r="A88" s="40" t="s">
        <v>148</v>
      </c>
      <c r="C88" s="12"/>
      <c r="D88" s="83"/>
      <c r="E88" s="83"/>
      <c r="F88" s="83"/>
      <c r="G88" s="83"/>
      <c r="H88" s="83"/>
      <c r="I88" s="83"/>
      <c r="J88" s="83"/>
      <c r="K88" s="83"/>
      <c r="L88" s="83"/>
      <c r="M88" s="83"/>
    </row>
    <row r="89" spans="1:27" s="10" customFormat="1" ht="13" x14ac:dyDescent="0.3">
      <c r="A89" s="76" t="s">
        <v>52</v>
      </c>
      <c r="B89" s="76" t="s">
        <v>53</v>
      </c>
      <c r="C89" s="77"/>
      <c r="D89" s="84">
        <v>3.8</v>
      </c>
      <c r="E89" s="84">
        <f>D89</f>
        <v>3.8</v>
      </c>
      <c r="F89" s="84">
        <f t="shared" ref="F89:M89" si="15">E89</f>
        <v>3.8</v>
      </c>
      <c r="G89" s="84">
        <f t="shared" si="15"/>
        <v>3.8</v>
      </c>
      <c r="H89" s="84">
        <f t="shared" si="15"/>
        <v>3.8</v>
      </c>
      <c r="I89" s="84">
        <f t="shared" si="15"/>
        <v>3.8</v>
      </c>
      <c r="J89" s="84">
        <f t="shared" si="15"/>
        <v>3.8</v>
      </c>
      <c r="K89" s="84">
        <f t="shared" si="15"/>
        <v>3.8</v>
      </c>
      <c r="L89" s="84">
        <f t="shared" si="15"/>
        <v>3.8</v>
      </c>
      <c r="M89" s="84">
        <f t="shared" si="15"/>
        <v>3.8</v>
      </c>
    </row>
    <row r="90" spans="1:27" customFormat="1" ht="14.5" x14ac:dyDescent="0.35">
      <c r="A90" s="140" t="s">
        <v>43</v>
      </c>
      <c r="B90" t="s">
        <v>54</v>
      </c>
      <c r="C90" s="141">
        <f>SUM(D90:M90)</f>
        <v>1524.6594726000001</v>
      </c>
      <c r="D90" s="143">
        <f t="shared" ref="D90:M90" si="16">D86*D89*2.2046</f>
        <v>0</v>
      </c>
      <c r="E90" s="143">
        <f t="shared" si="16"/>
        <v>0</v>
      </c>
      <c r="F90" s="143">
        <f t="shared" si="16"/>
        <v>96.843668800000003</v>
      </c>
      <c r="G90" s="143">
        <f t="shared" si="16"/>
        <v>279.59839499999998</v>
      </c>
      <c r="H90" s="143">
        <f t="shared" si="16"/>
        <v>246.04658760000001</v>
      </c>
      <c r="I90" s="143">
        <f t="shared" si="16"/>
        <v>290.78233080000001</v>
      </c>
      <c r="J90" s="143">
        <f t="shared" si="16"/>
        <v>257.23052340000004</v>
      </c>
      <c r="K90" s="143">
        <f t="shared" si="16"/>
        <v>257.23052340000004</v>
      </c>
      <c r="L90" s="143">
        <f t="shared" si="16"/>
        <v>96.927443600000004</v>
      </c>
      <c r="M90" s="143">
        <f t="shared" si="16"/>
        <v>0</v>
      </c>
    </row>
    <row r="91" spans="1:27" x14ac:dyDescent="0.35">
      <c r="A91" s="85"/>
      <c r="C91" s="86"/>
      <c r="D91" s="86"/>
      <c r="E91" s="86"/>
      <c r="F91" s="86"/>
      <c r="G91" s="86"/>
      <c r="H91" s="86"/>
      <c r="I91" s="86"/>
      <c r="J91" s="86"/>
      <c r="K91" s="86"/>
      <c r="L91" s="86"/>
      <c r="M91" s="86"/>
    </row>
    <row r="92" spans="1:27" s="73" customFormat="1" ht="32.25" customHeight="1" x14ac:dyDescent="0.35">
      <c r="A92" s="73" t="s">
        <v>12</v>
      </c>
    </row>
    <row r="93" spans="1:27" s="87" customFormat="1" ht="16.5" customHeight="1" x14ac:dyDescent="0.35">
      <c r="A93" s="87" t="str">
        <f>A$76</f>
        <v>Years --&gt;</v>
      </c>
      <c r="B93" s="21" t="str">
        <f t="shared" ref="B93:M93" si="17">B$76</f>
        <v>units</v>
      </c>
      <c r="C93" s="88" t="str">
        <f t="shared" si="17"/>
        <v>Total</v>
      </c>
      <c r="D93" s="20">
        <f t="shared" si="17"/>
        <v>2027</v>
      </c>
      <c r="E93" s="20">
        <f t="shared" si="17"/>
        <v>2028</v>
      </c>
      <c r="F93" s="20">
        <f t="shared" si="17"/>
        <v>2029</v>
      </c>
      <c r="G93" s="20">
        <f t="shared" si="17"/>
        <v>2030</v>
      </c>
      <c r="H93" s="20">
        <f t="shared" si="17"/>
        <v>2031</v>
      </c>
      <c r="I93" s="20">
        <f t="shared" si="17"/>
        <v>2032</v>
      </c>
      <c r="J93" s="20">
        <f t="shared" si="17"/>
        <v>2033</v>
      </c>
      <c r="K93" s="20">
        <f t="shared" si="17"/>
        <v>2034</v>
      </c>
      <c r="L93" s="20">
        <f t="shared" si="17"/>
        <v>2035</v>
      </c>
      <c r="M93" s="20">
        <f t="shared" si="17"/>
        <v>2036</v>
      </c>
      <c r="N93" s="21"/>
      <c r="O93" s="21"/>
      <c r="P93" s="21"/>
      <c r="Q93" s="21"/>
      <c r="R93" s="21"/>
      <c r="S93" s="21"/>
      <c r="T93" s="21"/>
      <c r="U93" s="21"/>
      <c r="V93" s="21"/>
      <c r="W93" s="21"/>
      <c r="X93" s="21"/>
      <c r="Y93" s="21"/>
      <c r="Z93" s="21"/>
      <c r="AA93" s="21"/>
    </row>
    <row r="94" spans="1:27" x14ac:dyDescent="0.35">
      <c r="A94" s="75" t="s">
        <v>42</v>
      </c>
      <c r="D94" s="1"/>
      <c r="E94" s="1"/>
      <c r="F94" s="1"/>
      <c r="G94" s="1"/>
      <c r="H94" s="1"/>
      <c r="I94" s="1"/>
      <c r="J94" s="1"/>
      <c r="K94" s="1"/>
      <c r="L94" s="1"/>
      <c r="M94" s="1"/>
    </row>
    <row r="95" spans="1:27" s="10" customFormat="1" ht="13" x14ac:dyDescent="0.3">
      <c r="A95" s="40" t="s">
        <v>105</v>
      </c>
      <c r="C95" s="12"/>
      <c r="D95" s="12"/>
      <c r="E95" s="12"/>
      <c r="F95" s="12"/>
      <c r="G95" s="12"/>
      <c r="H95" s="12"/>
      <c r="I95" s="12"/>
      <c r="J95" s="12"/>
      <c r="K95" s="12"/>
      <c r="L95" s="12"/>
      <c r="M95" s="12"/>
    </row>
    <row r="96" spans="1:27" s="10" customFormat="1" ht="13" x14ac:dyDescent="0.3">
      <c r="A96" s="76" t="s">
        <v>42</v>
      </c>
      <c r="B96" s="76" t="s">
        <v>54</v>
      </c>
      <c r="C96" s="77">
        <f t="shared" ref="C96" si="18">SUM(D96:M96)</f>
        <v>280</v>
      </c>
      <c r="D96" s="89">
        <v>105</v>
      </c>
      <c r="E96" s="89">
        <v>175</v>
      </c>
      <c r="F96" s="89"/>
      <c r="G96" s="89"/>
      <c r="H96" s="89"/>
      <c r="I96" s="89"/>
      <c r="J96" s="89"/>
      <c r="K96" s="89"/>
      <c r="L96" s="89"/>
      <c r="M96" s="89"/>
    </row>
    <row r="97" spans="1:27" s="10" customFormat="1" ht="12" customHeight="1" x14ac:dyDescent="0.3">
      <c r="C97" s="80"/>
      <c r="D97" s="80"/>
      <c r="E97" s="80"/>
      <c r="F97" s="80"/>
      <c r="G97" s="80"/>
      <c r="H97" s="80"/>
      <c r="I97" s="80"/>
      <c r="J97" s="80"/>
      <c r="K97" s="80"/>
      <c r="L97" s="80"/>
      <c r="M97" s="80"/>
    </row>
    <row r="98" spans="1:27" x14ac:dyDescent="0.35">
      <c r="A98" s="75" t="s">
        <v>29</v>
      </c>
      <c r="B98" s="90"/>
      <c r="C98" s="7"/>
      <c r="D98" s="1"/>
      <c r="E98" s="1"/>
      <c r="F98" s="1"/>
      <c r="G98" s="1"/>
      <c r="H98" s="1"/>
      <c r="I98" s="1"/>
      <c r="J98" s="1"/>
      <c r="K98" s="1"/>
      <c r="L98" s="1"/>
      <c r="M98" s="1"/>
    </row>
    <row r="99" spans="1:27" s="10" customFormat="1" ht="13" x14ac:dyDescent="0.3">
      <c r="A99" s="40" t="s">
        <v>106</v>
      </c>
      <c r="C99" s="12"/>
      <c r="D99" s="12"/>
      <c r="E99" s="12"/>
      <c r="F99" s="12"/>
      <c r="G99" s="12"/>
      <c r="H99" s="12"/>
      <c r="I99" s="12"/>
      <c r="J99" s="12"/>
      <c r="K99" s="12"/>
      <c r="L99" s="12"/>
      <c r="M99" s="12"/>
    </row>
    <row r="100" spans="1:27" s="10" customFormat="1" ht="13" x14ac:dyDescent="0.3">
      <c r="A100" s="76" t="s">
        <v>29</v>
      </c>
      <c r="B100" s="76" t="s">
        <v>55</v>
      </c>
      <c r="C100" s="77"/>
      <c r="D100" s="91">
        <v>0.05</v>
      </c>
      <c r="E100" s="91">
        <f>D100</f>
        <v>0.05</v>
      </c>
      <c r="F100" s="91">
        <f t="shared" ref="F100:M100" si="19">E100</f>
        <v>0.05</v>
      </c>
      <c r="G100" s="91">
        <f t="shared" si="19"/>
        <v>0.05</v>
      </c>
      <c r="H100" s="91">
        <f t="shared" si="19"/>
        <v>0.05</v>
      </c>
      <c r="I100" s="91">
        <f t="shared" si="19"/>
        <v>0.05</v>
      </c>
      <c r="J100" s="91">
        <f t="shared" si="19"/>
        <v>0.05</v>
      </c>
      <c r="K100" s="91">
        <f t="shared" si="19"/>
        <v>0.05</v>
      </c>
      <c r="L100" s="91">
        <f t="shared" si="19"/>
        <v>0.05</v>
      </c>
      <c r="M100" s="91">
        <f t="shared" si="19"/>
        <v>0.05</v>
      </c>
    </row>
    <row r="101" spans="1:27" s="10" customFormat="1" ht="13" x14ac:dyDescent="0.3">
      <c r="A101" s="63" t="str">
        <f>A100</f>
        <v>Ongoing Capex</v>
      </c>
      <c r="B101" s="10" t="s">
        <v>54</v>
      </c>
      <c r="C101" s="80">
        <f>SUM(D101:M101)</f>
        <v>98</v>
      </c>
      <c r="D101" s="80">
        <f t="shared" ref="D101:M101" si="20">IF(D90=0,0,$C96*D100)</f>
        <v>0</v>
      </c>
      <c r="E101" s="80">
        <f t="shared" si="20"/>
        <v>0</v>
      </c>
      <c r="F101" s="80">
        <f t="shared" si="20"/>
        <v>14</v>
      </c>
      <c r="G101" s="80">
        <f t="shared" si="20"/>
        <v>14</v>
      </c>
      <c r="H101" s="80">
        <f t="shared" si="20"/>
        <v>14</v>
      </c>
      <c r="I101" s="80">
        <f t="shared" si="20"/>
        <v>14</v>
      </c>
      <c r="J101" s="80">
        <f t="shared" si="20"/>
        <v>14</v>
      </c>
      <c r="K101" s="80">
        <f t="shared" si="20"/>
        <v>14</v>
      </c>
      <c r="L101" s="80">
        <f t="shared" si="20"/>
        <v>14</v>
      </c>
      <c r="M101" s="80">
        <f t="shared" si="20"/>
        <v>0</v>
      </c>
    </row>
    <row r="102" spans="1:27" s="10" customFormat="1" ht="13" x14ac:dyDescent="0.3">
      <c r="A102" s="63"/>
      <c r="C102" s="80"/>
      <c r="D102" s="80"/>
      <c r="E102" s="80"/>
      <c r="F102" s="80"/>
      <c r="G102" s="80"/>
      <c r="H102" s="80"/>
      <c r="I102" s="80"/>
      <c r="J102" s="80"/>
      <c r="K102" s="80"/>
      <c r="L102" s="80"/>
      <c r="M102" s="80"/>
    </row>
    <row r="103" spans="1:27" customFormat="1" ht="14.5" x14ac:dyDescent="0.35">
      <c r="A103" s="142" t="s">
        <v>12</v>
      </c>
      <c r="B103" t="s">
        <v>54</v>
      </c>
      <c r="C103" s="141">
        <f>SUM(D103:M103)</f>
        <v>378</v>
      </c>
      <c r="D103" s="143">
        <f>D96+D101</f>
        <v>105</v>
      </c>
      <c r="E103" s="143">
        <f>E96+E101</f>
        <v>175</v>
      </c>
      <c r="F103" s="143">
        <f t="shared" ref="F103:M103" si="21">F96+F101</f>
        <v>14</v>
      </c>
      <c r="G103" s="143">
        <f t="shared" si="21"/>
        <v>14</v>
      </c>
      <c r="H103" s="143">
        <f t="shared" si="21"/>
        <v>14</v>
      </c>
      <c r="I103" s="143">
        <f t="shared" si="21"/>
        <v>14</v>
      </c>
      <c r="J103" s="143">
        <f t="shared" si="21"/>
        <v>14</v>
      </c>
      <c r="K103" s="143">
        <f t="shared" si="21"/>
        <v>14</v>
      </c>
      <c r="L103" s="143">
        <f t="shared" si="21"/>
        <v>14</v>
      </c>
      <c r="M103" s="143">
        <f t="shared" si="21"/>
        <v>0</v>
      </c>
    </row>
    <row r="104" spans="1:27" ht="30" customHeight="1" x14ac:dyDescent="0.35">
      <c r="A104" s="7"/>
      <c r="D104" s="1"/>
      <c r="E104" s="1"/>
      <c r="F104" s="1"/>
      <c r="G104" s="1"/>
      <c r="H104" s="1"/>
      <c r="I104" s="1"/>
      <c r="J104" s="1"/>
      <c r="K104" s="1"/>
      <c r="L104" s="1"/>
      <c r="M104" s="1"/>
    </row>
    <row r="105" spans="1:27" s="73" customFormat="1" ht="32.25" customHeight="1" x14ac:dyDescent="0.35">
      <c r="A105" s="73" t="s">
        <v>14</v>
      </c>
    </row>
    <row r="106" spans="1:27" s="10" customFormat="1" ht="13" x14ac:dyDescent="0.3">
      <c r="A106" s="47" t="s">
        <v>84</v>
      </c>
      <c r="C106" s="12"/>
      <c r="D106" s="12"/>
      <c r="E106" s="12"/>
      <c r="F106" s="12"/>
      <c r="G106" s="12"/>
      <c r="H106" s="12"/>
      <c r="I106" s="12"/>
      <c r="J106" s="12"/>
      <c r="K106" s="12"/>
      <c r="L106" s="12"/>
      <c r="M106" s="12"/>
    </row>
    <row r="107" spans="1:27" s="10" customFormat="1" ht="13" x14ac:dyDescent="0.3">
      <c r="A107" s="47" t="s">
        <v>56</v>
      </c>
      <c r="C107" s="12"/>
      <c r="D107" s="12"/>
      <c r="E107" s="12"/>
      <c r="F107" s="12"/>
      <c r="G107" s="12"/>
      <c r="H107" s="12"/>
      <c r="I107" s="12"/>
      <c r="J107" s="12"/>
      <c r="K107" s="12"/>
      <c r="L107" s="12"/>
      <c r="M107" s="12"/>
    </row>
    <row r="108" spans="1:27" s="10" customFormat="1" ht="13" x14ac:dyDescent="0.3">
      <c r="A108" s="47" t="s">
        <v>57</v>
      </c>
      <c r="C108" s="12"/>
      <c r="D108" s="12"/>
      <c r="E108" s="12"/>
      <c r="F108" s="12"/>
      <c r="G108" s="12"/>
      <c r="H108" s="12"/>
      <c r="I108" s="12"/>
      <c r="J108" s="12"/>
      <c r="K108" s="12"/>
      <c r="L108" s="12"/>
      <c r="M108" s="12"/>
    </row>
    <row r="109" spans="1:27" s="87" customFormat="1" ht="21.75" customHeight="1" x14ac:dyDescent="0.35">
      <c r="A109" s="21" t="str">
        <f t="shared" ref="A109:M109" si="22">A$76</f>
        <v>Years --&gt;</v>
      </c>
      <c r="B109" s="21" t="str">
        <f t="shared" si="22"/>
        <v>units</v>
      </c>
      <c r="C109" s="88" t="str">
        <f t="shared" si="22"/>
        <v>Total</v>
      </c>
      <c r="D109" s="20">
        <f t="shared" si="22"/>
        <v>2027</v>
      </c>
      <c r="E109" s="20">
        <f t="shared" si="22"/>
        <v>2028</v>
      </c>
      <c r="F109" s="20">
        <f t="shared" si="22"/>
        <v>2029</v>
      </c>
      <c r="G109" s="20">
        <f t="shared" si="22"/>
        <v>2030</v>
      </c>
      <c r="H109" s="20">
        <f t="shared" si="22"/>
        <v>2031</v>
      </c>
      <c r="I109" s="20">
        <f t="shared" si="22"/>
        <v>2032</v>
      </c>
      <c r="J109" s="20">
        <f t="shared" si="22"/>
        <v>2033</v>
      </c>
      <c r="K109" s="20">
        <f t="shared" si="22"/>
        <v>2034</v>
      </c>
      <c r="L109" s="20">
        <f t="shared" si="22"/>
        <v>2035</v>
      </c>
      <c r="M109" s="20">
        <f t="shared" si="22"/>
        <v>2036</v>
      </c>
      <c r="N109" s="21"/>
      <c r="O109" s="21"/>
      <c r="P109" s="21"/>
      <c r="Q109" s="21"/>
      <c r="R109" s="21"/>
      <c r="S109" s="21"/>
      <c r="T109" s="21"/>
      <c r="U109" s="21"/>
      <c r="V109" s="21"/>
      <c r="W109" s="21"/>
      <c r="X109" s="21"/>
      <c r="Y109" s="21"/>
      <c r="Z109" s="21"/>
      <c r="AA109" s="21"/>
    </row>
    <row r="110" spans="1:27" ht="22.5" customHeight="1" x14ac:dyDescent="0.35">
      <c r="A110" s="75" t="s">
        <v>118</v>
      </c>
      <c r="D110" s="1"/>
      <c r="E110" s="1"/>
      <c r="F110" s="1"/>
      <c r="G110" s="1"/>
      <c r="H110" s="1"/>
      <c r="I110" s="1"/>
      <c r="J110" s="1"/>
      <c r="K110" s="1"/>
      <c r="L110" s="1"/>
      <c r="M110" s="1"/>
    </row>
    <row r="111" spans="1:27" s="10" customFormat="1" ht="13" x14ac:dyDescent="0.3">
      <c r="A111" s="40" t="s">
        <v>150</v>
      </c>
      <c r="C111" s="12"/>
      <c r="D111" s="12"/>
      <c r="E111" s="12"/>
      <c r="F111" s="12"/>
      <c r="G111" s="12"/>
      <c r="H111" s="12"/>
      <c r="I111" s="12"/>
      <c r="J111" s="12"/>
      <c r="K111" s="12"/>
      <c r="L111" s="12"/>
      <c r="M111" s="12"/>
    </row>
    <row r="112" spans="1:27" s="10" customFormat="1" ht="13" x14ac:dyDescent="0.3">
      <c r="A112" s="76" t="s">
        <v>59</v>
      </c>
      <c r="B112" s="76" t="s">
        <v>98</v>
      </c>
      <c r="C112" s="80"/>
      <c r="D112" s="96">
        <v>2.5</v>
      </c>
      <c r="E112" s="96">
        <f>D112</f>
        <v>2.5</v>
      </c>
      <c r="F112" s="96">
        <f t="shared" ref="F112:M112" si="23">E112</f>
        <v>2.5</v>
      </c>
      <c r="G112" s="96">
        <f t="shared" si="23"/>
        <v>2.5</v>
      </c>
      <c r="H112" s="96">
        <f t="shared" si="23"/>
        <v>2.5</v>
      </c>
      <c r="I112" s="96">
        <f t="shared" si="23"/>
        <v>2.5</v>
      </c>
      <c r="J112" s="96">
        <f t="shared" si="23"/>
        <v>2.5</v>
      </c>
      <c r="K112" s="96">
        <f t="shared" si="23"/>
        <v>2.5</v>
      </c>
      <c r="L112" s="96">
        <f t="shared" si="23"/>
        <v>2.5</v>
      </c>
      <c r="M112" s="96">
        <f t="shared" si="23"/>
        <v>2.5</v>
      </c>
    </row>
    <row r="113" spans="1:13" s="63" customFormat="1" ht="13" x14ac:dyDescent="0.3">
      <c r="A113" s="63" t="s">
        <v>58</v>
      </c>
      <c r="B113" s="10" t="s">
        <v>54</v>
      </c>
      <c r="C113" s="80">
        <f>SUM(D113:M113)</f>
        <v>37.5</v>
      </c>
      <c r="D113" s="97">
        <f t="shared" ref="D113:M113" si="24">D80*D112/1000</f>
        <v>0</v>
      </c>
      <c r="E113" s="97">
        <f t="shared" si="24"/>
        <v>7.5</v>
      </c>
      <c r="F113" s="97">
        <f t="shared" si="24"/>
        <v>7.5</v>
      </c>
      <c r="G113" s="97">
        <f t="shared" si="24"/>
        <v>6.25</v>
      </c>
      <c r="H113" s="97">
        <f t="shared" si="24"/>
        <v>6.25</v>
      </c>
      <c r="I113" s="97">
        <f t="shared" si="24"/>
        <v>6.25</v>
      </c>
      <c r="J113" s="97">
        <f t="shared" si="24"/>
        <v>2.5</v>
      </c>
      <c r="K113" s="97">
        <f t="shared" si="24"/>
        <v>1.25</v>
      </c>
      <c r="L113" s="97">
        <f t="shared" si="24"/>
        <v>0</v>
      </c>
      <c r="M113" s="97">
        <f t="shared" si="24"/>
        <v>0</v>
      </c>
    </row>
    <row r="114" spans="1:13" s="63" customFormat="1" ht="13" x14ac:dyDescent="0.3">
      <c r="B114" s="10"/>
      <c r="C114" s="80"/>
      <c r="D114" s="97"/>
      <c r="E114" s="97"/>
      <c r="F114" s="97"/>
      <c r="G114" s="97"/>
      <c r="H114" s="97"/>
      <c r="I114" s="97"/>
      <c r="J114" s="97"/>
      <c r="K114" s="97"/>
      <c r="L114" s="97"/>
      <c r="M114" s="97"/>
    </row>
    <row r="115" spans="1:13" s="10" customFormat="1" ht="13" x14ac:dyDescent="0.3">
      <c r="A115" s="76" t="s">
        <v>60</v>
      </c>
      <c r="B115" s="76" t="s">
        <v>99</v>
      </c>
      <c r="C115" s="80"/>
      <c r="D115" s="96">
        <v>3</v>
      </c>
      <c r="E115" s="96">
        <f>D115</f>
        <v>3</v>
      </c>
      <c r="F115" s="96">
        <f t="shared" ref="F115" si="25">E115</f>
        <v>3</v>
      </c>
      <c r="G115" s="96">
        <f t="shared" ref="G115" si="26">F115</f>
        <v>3</v>
      </c>
      <c r="H115" s="96">
        <f t="shared" ref="H115" si="27">G115</f>
        <v>3</v>
      </c>
      <c r="I115" s="96">
        <f t="shared" ref="I115" si="28">H115</f>
        <v>3</v>
      </c>
      <c r="J115" s="96">
        <f t="shared" ref="J115" si="29">I115</f>
        <v>3</v>
      </c>
      <c r="K115" s="96">
        <f t="shared" ref="K115" si="30">J115</f>
        <v>3</v>
      </c>
      <c r="L115" s="96">
        <f t="shared" ref="L115" si="31">K115</f>
        <v>3</v>
      </c>
      <c r="M115" s="96">
        <f t="shared" ref="M115" si="32">L115</f>
        <v>3</v>
      </c>
    </row>
    <row r="116" spans="1:13" s="63" customFormat="1" ht="13" x14ac:dyDescent="0.3">
      <c r="A116" s="63" t="s">
        <v>61</v>
      </c>
      <c r="B116" s="10" t="s">
        <v>54</v>
      </c>
      <c r="C116" s="80">
        <f>SUM(D116:M116)</f>
        <v>26.4</v>
      </c>
      <c r="D116" s="97">
        <f t="shared" ref="D116:M116" si="33">D81*D115/1000</f>
        <v>0</v>
      </c>
      <c r="E116" s="97">
        <f t="shared" si="33"/>
        <v>0</v>
      </c>
      <c r="F116" s="97">
        <f t="shared" si="33"/>
        <v>2.4</v>
      </c>
      <c r="G116" s="97">
        <f t="shared" si="33"/>
        <v>4.5</v>
      </c>
      <c r="H116" s="97">
        <f t="shared" si="33"/>
        <v>4.5</v>
      </c>
      <c r="I116" s="97">
        <f t="shared" si="33"/>
        <v>4.5</v>
      </c>
      <c r="J116" s="97">
        <f t="shared" si="33"/>
        <v>4.5</v>
      </c>
      <c r="K116" s="97">
        <f t="shared" si="33"/>
        <v>4.5</v>
      </c>
      <c r="L116" s="97">
        <f t="shared" si="33"/>
        <v>1.5</v>
      </c>
      <c r="M116" s="97">
        <f t="shared" si="33"/>
        <v>0</v>
      </c>
    </row>
    <row r="117" spans="1:13" s="63" customFormat="1" ht="13" x14ac:dyDescent="0.3">
      <c r="B117" s="10"/>
      <c r="C117" s="80"/>
      <c r="D117" s="97"/>
      <c r="E117" s="97"/>
      <c r="F117" s="97"/>
      <c r="G117" s="97"/>
      <c r="H117" s="97"/>
      <c r="I117" s="97"/>
      <c r="J117" s="97"/>
      <c r="K117" s="97"/>
      <c r="L117" s="97"/>
      <c r="M117" s="97"/>
    </row>
    <row r="118" spans="1:13" s="10" customFormat="1" ht="13" x14ac:dyDescent="0.3">
      <c r="A118" s="76" t="s">
        <v>62</v>
      </c>
      <c r="B118" s="76" t="s">
        <v>99</v>
      </c>
      <c r="C118" s="80"/>
      <c r="D118" s="78">
        <v>35</v>
      </c>
      <c r="E118" s="78">
        <f>D118</f>
        <v>35</v>
      </c>
      <c r="F118" s="78">
        <f t="shared" ref="F118" si="34">E118</f>
        <v>35</v>
      </c>
      <c r="G118" s="78">
        <f t="shared" ref="G118" si="35">F118</f>
        <v>35</v>
      </c>
      <c r="H118" s="78">
        <f t="shared" ref="H118" si="36">G118</f>
        <v>35</v>
      </c>
      <c r="I118" s="78">
        <f t="shared" ref="I118" si="37">H118</f>
        <v>35</v>
      </c>
      <c r="J118" s="78">
        <f t="shared" ref="J118" si="38">I118</f>
        <v>35</v>
      </c>
      <c r="K118" s="78">
        <f t="shared" ref="K118" si="39">J118</f>
        <v>35</v>
      </c>
      <c r="L118" s="78">
        <f t="shared" ref="L118" si="40">K118</f>
        <v>35</v>
      </c>
      <c r="M118" s="78">
        <f t="shared" ref="M118" si="41">L118</f>
        <v>35</v>
      </c>
    </row>
    <row r="119" spans="1:13" s="63" customFormat="1" ht="13" x14ac:dyDescent="0.3">
      <c r="A119" s="63" t="s">
        <v>63</v>
      </c>
      <c r="B119" s="10" t="s">
        <v>54</v>
      </c>
      <c r="C119" s="80">
        <f>SUM(D119:M119)</f>
        <v>308</v>
      </c>
      <c r="D119" s="97">
        <f t="shared" ref="D119:M119" si="42">D81*D118/1000</f>
        <v>0</v>
      </c>
      <c r="E119" s="97">
        <f t="shared" si="42"/>
        <v>0</v>
      </c>
      <c r="F119" s="97">
        <f t="shared" si="42"/>
        <v>28</v>
      </c>
      <c r="G119" s="97">
        <f t="shared" si="42"/>
        <v>52.5</v>
      </c>
      <c r="H119" s="97">
        <f t="shared" si="42"/>
        <v>52.5</v>
      </c>
      <c r="I119" s="97">
        <f t="shared" si="42"/>
        <v>52.5</v>
      </c>
      <c r="J119" s="97">
        <f t="shared" si="42"/>
        <v>52.5</v>
      </c>
      <c r="K119" s="97">
        <f t="shared" si="42"/>
        <v>52.5</v>
      </c>
      <c r="L119" s="97">
        <f t="shared" si="42"/>
        <v>17.5</v>
      </c>
      <c r="M119" s="97">
        <f t="shared" si="42"/>
        <v>0</v>
      </c>
    </row>
    <row r="120" spans="1:13" s="63" customFormat="1" ht="13" x14ac:dyDescent="0.3">
      <c r="B120" s="10"/>
      <c r="C120" s="80"/>
      <c r="D120" s="97"/>
      <c r="E120" s="97"/>
      <c r="F120" s="97"/>
      <c r="G120" s="97"/>
      <c r="H120" s="97"/>
      <c r="I120" s="97"/>
      <c r="J120" s="97"/>
      <c r="K120" s="97"/>
      <c r="L120" s="97"/>
      <c r="M120" s="97"/>
    </row>
    <row r="121" spans="1:13" s="10" customFormat="1" ht="13" x14ac:dyDescent="0.3">
      <c r="A121" s="76" t="s">
        <v>64</v>
      </c>
      <c r="B121" s="76" t="s">
        <v>100</v>
      </c>
      <c r="C121" s="80"/>
      <c r="D121" s="78">
        <v>950</v>
      </c>
      <c r="E121" s="78">
        <f>D121</f>
        <v>950</v>
      </c>
      <c r="F121" s="78">
        <f t="shared" ref="F121" si="43">E121</f>
        <v>950</v>
      </c>
      <c r="G121" s="78">
        <f t="shared" ref="G121" si="44">F121</f>
        <v>950</v>
      </c>
      <c r="H121" s="78">
        <f t="shared" ref="H121" si="45">G121</f>
        <v>950</v>
      </c>
      <c r="I121" s="78">
        <f t="shared" ref="I121" si="46">H121</f>
        <v>950</v>
      </c>
      <c r="J121" s="78">
        <f t="shared" ref="J121" si="47">I121</f>
        <v>950</v>
      </c>
      <c r="K121" s="78">
        <f t="shared" ref="K121" si="48">J121</f>
        <v>950</v>
      </c>
      <c r="L121" s="78">
        <f t="shared" ref="L121" si="49">K121</f>
        <v>950</v>
      </c>
      <c r="M121" s="78">
        <f t="shared" ref="M121" si="50">L121</f>
        <v>950</v>
      </c>
    </row>
    <row r="122" spans="1:13" s="63" customFormat="1" ht="13" x14ac:dyDescent="0.3">
      <c r="A122" s="63" t="s">
        <v>76</v>
      </c>
      <c r="B122" s="10" t="s">
        <v>54</v>
      </c>
      <c r="C122" s="80">
        <f>SUM(D122:M122)</f>
        <v>172.89524999999998</v>
      </c>
      <c r="D122" s="97">
        <f t="shared" ref="D122:M122" si="51">D86*D121/1000</f>
        <v>0</v>
      </c>
      <c r="E122" s="97">
        <f t="shared" si="51"/>
        <v>0</v>
      </c>
      <c r="F122" s="97">
        <f t="shared" si="51"/>
        <v>10.981999999999999</v>
      </c>
      <c r="G122" s="97">
        <f t="shared" si="51"/>
        <v>31.706250000000001</v>
      </c>
      <c r="H122" s="97">
        <f t="shared" si="51"/>
        <v>27.901499999999999</v>
      </c>
      <c r="I122" s="97">
        <f t="shared" si="51"/>
        <v>32.974499999999999</v>
      </c>
      <c r="J122" s="97">
        <f t="shared" si="51"/>
        <v>29.169750000000001</v>
      </c>
      <c r="K122" s="97">
        <f t="shared" si="51"/>
        <v>29.169750000000001</v>
      </c>
      <c r="L122" s="97">
        <f t="shared" si="51"/>
        <v>10.9915</v>
      </c>
      <c r="M122" s="97">
        <f t="shared" si="51"/>
        <v>0</v>
      </c>
    </row>
    <row r="123" spans="1:13" s="63" customFormat="1" ht="13" x14ac:dyDescent="0.3">
      <c r="B123" s="10"/>
      <c r="C123" s="80"/>
      <c r="D123" s="97"/>
      <c r="E123" s="97"/>
      <c r="F123" s="97"/>
      <c r="G123" s="97"/>
      <c r="H123" s="97"/>
      <c r="I123" s="97"/>
      <c r="J123" s="97"/>
      <c r="K123" s="97"/>
      <c r="L123" s="97"/>
      <c r="M123" s="97"/>
    </row>
    <row r="124" spans="1:13" s="63" customFormat="1" ht="14.5" x14ac:dyDescent="0.35">
      <c r="A124" s="98" t="s">
        <v>118</v>
      </c>
      <c r="B124" s="10" t="s">
        <v>54</v>
      </c>
      <c r="C124" s="80">
        <f>SUM(D124:M124)</f>
        <v>544.79525000000001</v>
      </c>
      <c r="D124" s="99">
        <f>D113+D116+D119+D122</f>
        <v>0</v>
      </c>
      <c r="E124" s="99">
        <f t="shared" ref="E124:M124" si="52">E113+E116+E119+E122</f>
        <v>7.5</v>
      </c>
      <c r="F124" s="99">
        <f>F113+F116+F119+F122</f>
        <v>48.881999999999998</v>
      </c>
      <c r="G124" s="99">
        <f t="shared" si="52"/>
        <v>94.956249999999997</v>
      </c>
      <c r="H124" s="99">
        <f t="shared" si="52"/>
        <v>91.151499999999999</v>
      </c>
      <c r="I124" s="99">
        <f t="shared" si="52"/>
        <v>96.224500000000006</v>
      </c>
      <c r="J124" s="99">
        <f>J113+J116+J119+J122</f>
        <v>88.669749999999993</v>
      </c>
      <c r="K124" s="99">
        <f t="shared" si="52"/>
        <v>87.419749999999993</v>
      </c>
      <c r="L124" s="99">
        <f t="shared" si="52"/>
        <v>29.991500000000002</v>
      </c>
      <c r="M124" s="99">
        <f t="shared" si="52"/>
        <v>0</v>
      </c>
    </row>
    <row r="125" spans="1:13" s="63" customFormat="1" ht="13" x14ac:dyDescent="0.3">
      <c r="A125" s="63" t="str">
        <f t="shared" ref="A125:M125" si="53">A81</f>
        <v>Ore mined</v>
      </c>
      <c r="B125" s="10" t="str">
        <f t="shared" si="53"/>
        <v>000 tonnes</v>
      </c>
      <c r="C125" s="80">
        <f t="shared" si="53"/>
        <v>8800</v>
      </c>
      <c r="D125" s="80">
        <f t="shared" si="53"/>
        <v>0</v>
      </c>
      <c r="E125" s="80">
        <f t="shared" si="53"/>
        <v>0</v>
      </c>
      <c r="F125" s="80">
        <f t="shared" si="53"/>
        <v>800</v>
      </c>
      <c r="G125" s="80">
        <f t="shared" si="53"/>
        <v>1500</v>
      </c>
      <c r="H125" s="80">
        <f t="shared" si="53"/>
        <v>1500</v>
      </c>
      <c r="I125" s="80">
        <f t="shared" si="53"/>
        <v>1500</v>
      </c>
      <c r="J125" s="80">
        <f t="shared" si="53"/>
        <v>1500</v>
      </c>
      <c r="K125" s="80">
        <f t="shared" si="53"/>
        <v>1500</v>
      </c>
      <c r="L125" s="80">
        <f t="shared" si="53"/>
        <v>500</v>
      </c>
      <c r="M125" s="80">
        <f t="shared" si="53"/>
        <v>0</v>
      </c>
    </row>
    <row r="126" spans="1:13" s="63" customFormat="1" ht="13" x14ac:dyDescent="0.3">
      <c r="A126" s="100" t="s">
        <v>120</v>
      </c>
      <c r="B126" s="10" t="s">
        <v>103</v>
      </c>
      <c r="C126" s="80">
        <f>IFERROR(C124/C125*1000,0)</f>
        <v>61.908551136363634</v>
      </c>
      <c r="D126" s="80">
        <f>IFERROR(D124/D125*1000,0)</f>
        <v>0</v>
      </c>
      <c r="E126" s="80">
        <f t="shared" ref="E126:M126" si="54">IFERROR(E124/E125*1000,0)</f>
        <v>0</v>
      </c>
      <c r="F126" s="80">
        <f t="shared" si="54"/>
        <v>61.102499999999999</v>
      </c>
      <c r="G126" s="80">
        <f t="shared" si="54"/>
        <v>63.30416666666666</v>
      </c>
      <c r="H126" s="80">
        <f t="shared" si="54"/>
        <v>60.767666666666663</v>
      </c>
      <c r="I126" s="80">
        <f t="shared" si="54"/>
        <v>64.149666666666675</v>
      </c>
      <c r="J126" s="80">
        <f t="shared" si="54"/>
        <v>59.113166666666658</v>
      </c>
      <c r="K126" s="80">
        <f t="shared" si="54"/>
        <v>58.279833333333329</v>
      </c>
      <c r="L126" s="80">
        <f t="shared" si="54"/>
        <v>59.983000000000004</v>
      </c>
      <c r="M126" s="80">
        <f t="shared" si="54"/>
        <v>0</v>
      </c>
    </row>
    <row r="127" spans="1:13" s="63" customFormat="1" ht="13" x14ac:dyDescent="0.3">
      <c r="B127" s="10"/>
      <c r="C127" s="80"/>
      <c r="D127" s="97"/>
      <c r="E127" s="97"/>
      <c r="F127" s="97"/>
      <c r="G127" s="97"/>
      <c r="H127" s="97"/>
      <c r="I127" s="97"/>
      <c r="J127" s="97"/>
      <c r="K127" s="97"/>
      <c r="L127" s="97"/>
      <c r="M127" s="97"/>
    </row>
    <row r="128" spans="1:13" ht="18.75" customHeight="1" x14ac:dyDescent="0.35">
      <c r="A128" s="75" t="s">
        <v>119</v>
      </c>
      <c r="D128" s="1"/>
      <c r="E128" s="1"/>
      <c r="F128" s="1"/>
      <c r="G128" s="1"/>
      <c r="H128" s="1"/>
      <c r="I128" s="1"/>
      <c r="J128" s="1"/>
      <c r="K128" s="1"/>
      <c r="L128" s="1"/>
      <c r="M128" s="1"/>
    </row>
    <row r="129" spans="1:13" s="10" customFormat="1" ht="16.899999999999999" customHeight="1" x14ac:dyDescent="0.3">
      <c r="A129" s="76" t="s">
        <v>65</v>
      </c>
      <c r="B129" s="76" t="s">
        <v>101</v>
      </c>
      <c r="C129" s="80"/>
      <c r="D129" s="96">
        <v>2.2000000000000002</v>
      </c>
      <c r="E129" s="96">
        <f>D129</f>
        <v>2.2000000000000002</v>
      </c>
      <c r="F129" s="96">
        <f t="shared" ref="F129:M129" si="55">E129</f>
        <v>2.2000000000000002</v>
      </c>
      <c r="G129" s="96">
        <f t="shared" si="55"/>
        <v>2.2000000000000002</v>
      </c>
      <c r="H129" s="96">
        <f t="shared" si="55"/>
        <v>2.2000000000000002</v>
      </c>
      <c r="I129" s="96">
        <f t="shared" si="55"/>
        <v>2.2000000000000002</v>
      </c>
      <c r="J129" s="96">
        <f t="shared" si="55"/>
        <v>2.2000000000000002</v>
      </c>
      <c r="K129" s="96">
        <f t="shared" si="55"/>
        <v>2.2000000000000002</v>
      </c>
      <c r="L129" s="96">
        <f t="shared" si="55"/>
        <v>2.2000000000000002</v>
      </c>
      <c r="M129" s="96">
        <f t="shared" si="55"/>
        <v>2.2000000000000002</v>
      </c>
    </row>
    <row r="130" spans="1:13" s="10" customFormat="1" ht="16.899999999999999" customHeight="1" x14ac:dyDescent="0.3">
      <c r="A130" s="76" t="s">
        <v>39</v>
      </c>
      <c r="B130" s="76" t="s">
        <v>101</v>
      </c>
      <c r="C130" s="80"/>
      <c r="D130" s="96">
        <v>6</v>
      </c>
      <c r="E130" s="96">
        <f>D130</f>
        <v>6</v>
      </c>
      <c r="F130" s="96">
        <f t="shared" ref="F130:M130" si="56">E130</f>
        <v>6</v>
      </c>
      <c r="G130" s="96">
        <f t="shared" si="56"/>
        <v>6</v>
      </c>
      <c r="H130" s="96">
        <f t="shared" si="56"/>
        <v>6</v>
      </c>
      <c r="I130" s="96">
        <f t="shared" si="56"/>
        <v>6</v>
      </c>
      <c r="J130" s="96">
        <f t="shared" si="56"/>
        <v>6</v>
      </c>
      <c r="K130" s="96">
        <f t="shared" si="56"/>
        <v>6</v>
      </c>
      <c r="L130" s="96">
        <f t="shared" si="56"/>
        <v>6</v>
      </c>
      <c r="M130" s="96">
        <f t="shared" si="56"/>
        <v>6</v>
      </c>
    </row>
    <row r="131" spans="1:13" s="63" customFormat="1" ht="13" x14ac:dyDescent="0.3">
      <c r="A131" s="63" t="str">
        <f>A128</f>
        <v>Operating costs -  Fixed</v>
      </c>
      <c r="B131" s="10" t="s">
        <v>54</v>
      </c>
      <c r="C131" s="80">
        <f>SUM(D131:M131)</f>
        <v>57.400000000000006</v>
      </c>
      <c r="D131" s="80">
        <f t="shared" ref="D131:M131" si="57">IF(D86=0,0,SUM(D129:D130))</f>
        <v>0</v>
      </c>
      <c r="E131" s="80">
        <f t="shared" si="57"/>
        <v>0</v>
      </c>
      <c r="F131" s="80">
        <f t="shared" si="57"/>
        <v>8.1999999999999993</v>
      </c>
      <c r="G131" s="80">
        <f t="shared" si="57"/>
        <v>8.1999999999999993</v>
      </c>
      <c r="H131" s="80">
        <f t="shared" si="57"/>
        <v>8.1999999999999993</v>
      </c>
      <c r="I131" s="80">
        <f t="shared" si="57"/>
        <v>8.1999999999999993</v>
      </c>
      <c r="J131" s="80">
        <f t="shared" si="57"/>
        <v>8.1999999999999993</v>
      </c>
      <c r="K131" s="80">
        <f t="shared" si="57"/>
        <v>8.1999999999999993</v>
      </c>
      <c r="L131" s="80">
        <f t="shared" si="57"/>
        <v>8.1999999999999993</v>
      </c>
      <c r="M131" s="80">
        <f t="shared" si="57"/>
        <v>0</v>
      </c>
    </row>
    <row r="132" spans="1:13" s="10" customFormat="1" ht="13" x14ac:dyDescent="0.3">
      <c r="A132" s="92"/>
      <c r="C132" s="83"/>
      <c r="D132" s="83"/>
      <c r="E132" s="83"/>
      <c r="F132" s="83"/>
      <c r="G132" s="83"/>
      <c r="H132" s="83"/>
      <c r="I132" s="83"/>
      <c r="J132" s="83"/>
      <c r="K132" s="83"/>
      <c r="L132" s="83"/>
      <c r="M132" s="83"/>
    </row>
    <row r="133" spans="1:13" x14ac:dyDescent="0.35">
      <c r="A133" s="101" t="s">
        <v>69</v>
      </c>
      <c r="C133" s="3"/>
    </row>
    <row r="134" spans="1:13" s="10" customFormat="1" ht="13" x14ac:dyDescent="0.3">
      <c r="A134" s="40" t="s">
        <v>151</v>
      </c>
      <c r="C134" s="12"/>
      <c r="D134" s="12"/>
      <c r="E134" s="12"/>
      <c r="F134" s="12"/>
      <c r="G134" s="12"/>
      <c r="H134" s="12"/>
      <c r="I134" s="12"/>
      <c r="J134" s="12"/>
      <c r="K134" s="12"/>
      <c r="L134" s="12"/>
      <c r="M134" s="12"/>
    </row>
    <row r="135" spans="1:13" s="10" customFormat="1" ht="16.899999999999999" customHeight="1" x14ac:dyDescent="0.3">
      <c r="A135" s="76" t="s">
        <v>70</v>
      </c>
      <c r="B135" s="76" t="s">
        <v>71</v>
      </c>
      <c r="C135" s="80"/>
      <c r="D135" s="79">
        <v>2.5000000000000001E-2</v>
      </c>
      <c r="E135" s="79">
        <f>D135</f>
        <v>2.5000000000000001E-2</v>
      </c>
      <c r="F135" s="79">
        <f t="shared" ref="F135" si="58">E135</f>
        <v>2.5000000000000001E-2</v>
      </c>
      <c r="G135" s="79">
        <f t="shared" ref="G135" si="59">F135</f>
        <v>2.5000000000000001E-2</v>
      </c>
      <c r="H135" s="79">
        <f t="shared" ref="H135" si="60">G135</f>
        <v>2.5000000000000001E-2</v>
      </c>
      <c r="I135" s="79">
        <f t="shared" ref="I135" si="61">H135</f>
        <v>2.5000000000000001E-2</v>
      </c>
      <c r="J135" s="79">
        <f t="shared" ref="J135" si="62">I135</f>
        <v>2.5000000000000001E-2</v>
      </c>
      <c r="K135" s="79">
        <f t="shared" ref="K135" si="63">J135</f>
        <v>2.5000000000000001E-2</v>
      </c>
      <c r="L135" s="79">
        <f t="shared" ref="L135" si="64">K135</f>
        <v>2.5000000000000001E-2</v>
      </c>
      <c r="M135" s="79">
        <f t="shared" ref="M135" si="65">L135</f>
        <v>2.5000000000000001E-2</v>
      </c>
    </row>
    <row r="136" spans="1:13" s="63" customFormat="1" ht="13" x14ac:dyDescent="0.3">
      <c r="A136" s="63" t="s">
        <v>69</v>
      </c>
      <c r="B136" s="10" t="s">
        <v>54</v>
      </c>
      <c r="C136" s="80">
        <f>SUM(D136:M136)</f>
        <v>38.116486815000009</v>
      </c>
      <c r="D136" s="80">
        <f t="shared" ref="D136:M136" si="66">D90*D135</f>
        <v>0</v>
      </c>
      <c r="E136" s="80">
        <f t="shared" si="66"/>
        <v>0</v>
      </c>
      <c r="F136" s="80">
        <f t="shared" si="66"/>
        <v>2.4210917200000002</v>
      </c>
      <c r="G136" s="80">
        <f t="shared" si="66"/>
        <v>6.9899598750000003</v>
      </c>
      <c r="H136" s="80">
        <f t="shared" si="66"/>
        <v>6.1511646900000008</v>
      </c>
      <c r="I136" s="80">
        <f t="shared" si="66"/>
        <v>7.269558270000001</v>
      </c>
      <c r="J136" s="80">
        <f t="shared" si="66"/>
        <v>6.4307630850000015</v>
      </c>
      <c r="K136" s="80">
        <f t="shared" si="66"/>
        <v>6.4307630850000015</v>
      </c>
      <c r="L136" s="80">
        <f t="shared" si="66"/>
        <v>2.4231860900000002</v>
      </c>
      <c r="M136" s="80">
        <f t="shared" si="66"/>
        <v>0</v>
      </c>
    </row>
    <row r="137" spans="1:13" x14ac:dyDescent="0.35">
      <c r="A137" s="102"/>
      <c r="C137" s="3"/>
    </row>
    <row r="138" spans="1:13" x14ac:dyDescent="0.35">
      <c r="A138" s="101" t="s">
        <v>67</v>
      </c>
      <c r="C138" s="3"/>
    </row>
    <row r="139" spans="1:13" s="10" customFormat="1" ht="16.899999999999999" customHeight="1" x14ac:dyDescent="0.3">
      <c r="A139" s="76" t="s">
        <v>117</v>
      </c>
      <c r="B139" s="76" t="s">
        <v>102</v>
      </c>
      <c r="C139" s="80"/>
      <c r="D139" s="96">
        <v>2</v>
      </c>
      <c r="E139" s="96">
        <f>D139</f>
        <v>2</v>
      </c>
      <c r="F139" s="96">
        <f t="shared" ref="F139:M139" si="67">E139</f>
        <v>2</v>
      </c>
      <c r="G139" s="96">
        <f t="shared" si="67"/>
        <v>2</v>
      </c>
      <c r="H139" s="96">
        <f t="shared" si="67"/>
        <v>2</v>
      </c>
      <c r="I139" s="96">
        <f t="shared" si="67"/>
        <v>2</v>
      </c>
      <c r="J139" s="96">
        <f t="shared" si="67"/>
        <v>2</v>
      </c>
      <c r="K139" s="96">
        <f t="shared" si="67"/>
        <v>2</v>
      </c>
      <c r="L139" s="96">
        <f t="shared" si="67"/>
        <v>2</v>
      </c>
      <c r="M139" s="96">
        <f t="shared" si="67"/>
        <v>2</v>
      </c>
    </row>
    <row r="140" spans="1:13" s="63" customFormat="1" ht="13" x14ac:dyDescent="0.3">
      <c r="A140" s="63" t="str">
        <f>A139</f>
        <v>rehabilitation during operations</v>
      </c>
      <c r="B140" s="10" t="s">
        <v>54</v>
      </c>
      <c r="C140" s="80">
        <f>SUM(D140:M140)</f>
        <v>23.8</v>
      </c>
      <c r="D140" s="80">
        <f t="shared" ref="D140:M140" si="68">(D80+D81)/1000</f>
        <v>0</v>
      </c>
      <c r="E140" s="80">
        <f t="shared" si="68"/>
        <v>3</v>
      </c>
      <c r="F140" s="80">
        <f t="shared" si="68"/>
        <v>3.8</v>
      </c>
      <c r="G140" s="80">
        <f t="shared" si="68"/>
        <v>4</v>
      </c>
      <c r="H140" s="80">
        <f t="shared" si="68"/>
        <v>4</v>
      </c>
      <c r="I140" s="80">
        <f t="shared" si="68"/>
        <v>4</v>
      </c>
      <c r="J140" s="80">
        <f t="shared" si="68"/>
        <v>2.5</v>
      </c>
      <c r="K140" s="80">
        <f t="shared" si="68"/>
        <v>2</v>
      </c>
      <c r="L140" s="80">
        <f t="shared" si="68"/>
        <v>0.5</v>
      </c>
      <c r="M140" s="80">
        <f t="shared" si="68"/>
        <v>0</v>
      </c>
    </row>
    <row r="141" spans="1:13" s="63" customFormat="1" ht="13" x14ac:dyDescent="0.3">
      <c r="B141" s="10"/>
      <c r="C141" s="80"/>
      <c r="D141" s="80"/>
      <c r="E141" s="80"/>
      <c r="F141" s="80"/>
      <c r="G141" s="80"/>
      <c r="H141" s="80"/>
      <c r="I141" s="80"/>
      <c r="J141" s="80"/>
      <c r="K141" s="80"/>
      <c r="L141" s="80"/>
      <c r="M141" s="80"/>
    </row>
    <row r="142" spans="1:13" x14ac:dyDescent="0.35">
      <c r="A142" s="101" t="s">
        <v>121</v>
      </c>
      <c r="C142" s="3"/>
    </row>
    <row r="143" spans="1:13" s="10" customFormat="1" ht="13" x14ac:dyDescent="0.3">
      <c r="A143" s="40" t="s">
        <v>152</v>
      </c>
      <c r="C143" s="12"/>
      <c r="D143" s="12"/>
      <c r="E143" s="12"/>
      <c r="F143" s="12"/>
      <c r="G143" s="12"/>
      <c r="H143" s="12"/>
      <c r="I143" s="12"/>
      <c r="J143" s="12"/>
      <c r="K143" s="12"/>
      <c r="L143" s="12"/>
      <c r="M143" s="12"/>
    </row>
    <row r="144" spans="1:13" s="10" customFormat="1" ht="16.899999999999999" customHeight="1" x14ac:dyDescent="0.3">
      <c r="A144" s="76" t="s">
        <v>66</v>
      </c>
      <c r="B144" s="76" t="s">
        <v>54</v>
      </c>
      <c r="C144" s="80"/>
      <c r="D144" s="78"/>
      <c r="E144" s="78"/>
      <c r="F144" s="78">
        <v>45</v>
      </c>
      <c r="G144" s="78">
        <f t="shared" ref="G144:M144" si="69">F144</f>
        <v>45</v>
      </c>
      <c r="H144" s="78">
        <f t="shared" si="69"/>
        <v>45</v>
      </c>
      <c r="I144" s="78">
        <f t="shared" si="69"/>
        <v>45</v>
      </c>
      <c r="J144" s="78">
        <f t="shared" si="69"/>
        <v>45</v>
      </c>
      <c r="K144" s="78">
        <f t="shared" si="69"/>
        <v>45</v>
      </c>
      <c r="L144" s="78">
        <f t="shared" si="69"/>
        <v>45</v>
      </c>
      <c r="M144" s="78">
        <f t="shared" si="69"/>
        <v>45</v>
      </c>
    </row>
    <row r="145" spans="1:27" s="63" customFormat="1" ht="13" x14ac:dyDescent="0.3">
      <c r="A145" s="63" t="str">
        <f>A144</f>
        <v>closure</v>
      </c>
      <c r="B145" s="10" t="s">
        <v>54</v>
      </c>
      <c r="C145" s="80">
        <f>SUM(D145:M145)</f>
        <v>45</v>
      </c>
      <c r="D145" s="80"/>
      <c r="E145" s="80"/>
      <c r="F145" s="80">
        <f t="shared" ref="F145:M145" si="70">IF(AND(E86&gt;0,F86=0),F144,0)</f>
        <v>0</v>
      </c>
      <c r="G145" s="80">
        <f t="shared" si="70"/>
        <v>0</v>
      </c>
      <c r="H145" s="80">
        <f t="shared" si="70"/>
        <v>0</v>
      </c>
      <c r="I145" s="80">
        <f t="shared" si="70"/>
        <v>0</v>
      </c>
      <c r="J145" s="80">
        <f t="shared" si="70"/>
        <v>0</v>
      </c>
      <c r="K145" s="80">
        <f t="shared" si="70"/>
        <v>0</v>
      </c>
      <c r="L145" s="80">
        <f t="shared" si="70"/>
        <v>0</v>
      </c>
      <c r="M145" s="80">
        <f t="shared" si="70"/>
        <v>45</v>
      </c>
    </row>
    <row r="146" spans="1:27" s="10" customFormat="1" ht="13" x14ac:dyDescent="0.3">
      <c r="A146" s="103"/>
      <c r="C146" s="12"/>
      <c r="D146" s="12"/>
      <c r="E146" s="12"/>
      <c r="F146" s="12"/>
      <c r="G146" s="12"/>
      <c r="H146" s="12"/>
      <c r="I146" s="12"/>
      <c r="J146" s="12"/>
      <c r="K146" s="12"/>
      <c r="L146" s="12"/>
      <c r="M146" s="12"/>
    </row>
    <row r="147" spans="1:27" customFormat="1" ht="14.5" x14ac:dyDescent="0.35">
      <c r="A147" s="142" t="s">
        <v>14</v>
      </c>
      <c r="B147" t="s">
        <v>54</v>
      </c>
      <c r="C147" s="141">
        <f>SUM(D147:M147)</f>
        <v>709.11173681500009</v>
      </c>
      <c r="D147" s="143">
        <f>D124+D131+D136+D140+D145</f>
        <v>0</v>
      </c>
      <c r="E147" s="143">
        <f t="shared" ref="E147:M147" si="71">E124+E131+E136+E140+E145</f>
        <v>10.5</v>
      </c>
      <c r="F147" s="143">
        <f t="shared" si="71"/>
        <v>63.303091719999991</v>
      </c>
      <c r="G147" s="143">
        <f t="shared" si="71"/>
        <v>114.146209875</v>
      </c>
      <c r="H147" s="143">
        <f>H124+H131+H136+H140+H145</f>
        <v>109.50266469</v>
      </c>
      <c r="I147" s="143">
        <f t="shared" si="71"/>
        <v>115.69405827000001</v>
      </c>
      <c r="J147" s="143">
        <f t="shared" si="71"/>
        <v>105.80051308499999</v>
      </c>
      <c r="K147" s="143">
        <f t="shared" si="71"/>
        <v>104.05051308499999</v>
      </c>
      <c r="L147" s="143">
        <f t="shared" si="71"/>
        <v>41.114686090000006</v>
      </c>
      <c r="M147" s="143">
        <f t="shared" si="71"/>
        <v>45</v>
      </c>
    </row>
    <row r="148" spans="1:27" s="10" customFormat="1" ht="13" x14ac:dyDescent="0.3">
      <c r="A148" s="104" t="s">
        <v>154</v>
      </c>
      <c r="B148" s="63" t="s">
        <v>103</v>
      </c>
      <c r="C148" s="80">
        <f t="shared" ref="C148:M148" si="72">IF(C81=0,0,C147/C81*1000)</f>
        <v>80.58087918352274</v>
      </c>
      <c r="D148" s="80">
        <f t="shared" si="72"/>
        <v>0</v>
      </c>
      <c r="E148" s="80">
        <f t="shared" si="72"/>
        <v>0</v>
      </c>
      <c r="F148" s="80">
        <f t="shared" si="72"/>
        <v>79.128864649999997</v>
      </c>
      <c r="G148" s="80">
        <f t="shared" si="72"/>
        <v>76.097473249999993</v>
      </c>
      <c r="H148" s="80">
        <f t="shared" si="72"/>
        <v>73.001776460000002</v>
      </c>
      <c r="I148" s="80">
        <f t="shared" si="72"/>
        <v>77.129372180000004</v>
      </c>
      <c r="J148" s="80">
        <f t="shared" si="72"/>
        <v>70.533675389999999</v>
      </c>
      <c r="K148" s="80">
        <f t="shared" si="72"/>
        <v>69.367008723333328</v>
      </c>
      <c r="L148" s="80">
        <f t="shared" si="72"/>
        <v>82.229372180000013</v>
      </c>
      <c r="M148" s="80">
        <f t="shared" si="72"/>
        <v>0</v>
      </c>
    </row>
    <row r="149" spans="1:27" s="10" customFormat="1" ht="13" x14ac:dyDescent="0.3">
      <c r="A149" s="104" t="s">
        <v>153</v>
      </c>
      <c r="B149" s="63" t="s">
        <v>104</v>
      </c>
      <c r="C149" s="80">
        <f>C147/C86*1000</f>
        <v>3896.3253760542871</v>
      </c>
      <c r="D149" s="80">
        <f t="shared" ref="D149:M149" si="73">IF(D86=0,0,D147/D86*1000)</f>
        <v>0</v>
      </c>
      <c r="E149" s="80">
        <f t="shared" si="73"/>
        <v>0</v>
      </c>
      <c r="F149" s="80">
        <f t="shared" si="73"/>
        <v>5476.0459965397913</v>
      </c>
      <c r="G149" s="80">
        <f t="shared" si="73"/>
        <v>3420.1111573033709</v>
      </c>
      <c r="H149" s="80">
        <f t="shared" si="73"/>
        <v>3728.3849060265575</v>
      </c>
      <c r="I149" s="80">
        <f t="shared" si="73"/>
        <v>3333.1621512532415</v>
      </c>
      <c r="J149" s="80">
        <f t="shared" si="73"/>
        <v>3445.7095940400582</v>
      </c>
      <c r="K149" s="80">
        <f t="shared" si="73"/>
        <v>3388.7156191174072</v>
      </c>
      <c r="L149" s="80">
        <f t="shared" si="73"/>
        <v>3553.5597312013833</v>
      </c>
      <c r="M149" s="80">
        <f t="shared" si="73"/>
        <v>0</v>
      </c>
    </row>
    <row r="150" spans="1:27" s="10" customFormat="1" ht="13" x14ac:dyDescent="0.3">
      <c r="A150" s="104"/>
      <c r="B150" s="63"/>
      <c r="C150" s="80"/>
      <c r="D150" s="80"/>
      <c r="E150" s="80"/>
      <c r="F150" s="80"/>
      <c r="G150" s="80"/>
      <c r="H150" s="80"/>
      <c r="I150" s="80"/>
      <c r="J150" s="80"/>
      <c r="K150" s="80"/>
      <c r="L150" s="80"/>
      <c r="M150" s="80"/>
    </row>
    <row r="151" spans="1:27" s="73" customFormat="1" ht="32.25" customHeight="1" x14ac:dyDescent="0.35">
      <c r="A151" s="73" t="s">
        <v>15</v>
      </c>
    </row>
    <row r="152" spans="1:27" s="87" customFormat="1" ht="15.75" customHeight="1" x14ac:dyDescent="0.35">
      <c r="A152" s="87" t="str">
        <f>A$76</f>
        <v>Years --&gt;</v>
      </c>
      <c r="B152" s="21" t="str">
        <f t="shared" ref="B152:M152" si="74">B$76</f>
        <v>units</v>
      </c>
      <c r="C152" s="88" t="str">
        <f t="shared" si="74"/>
        <v>Total</v>
      </c>
      <c r="D152" s="20">
        <f t="shared" si="74"/>
        <v>2027</v>
      </c>
      <c r="E152" s="20">
        <f t="shared" si="74"/>
        <v>2028</v>
      </c>
      <c r="F152" s="20">
        <f t="shared" si="74"/>
        <v>2029</v>
      </c>
      <c r="G152" s="20">
        <f t="shared" si="74"/>
        <v>2030</v>
      </c>
      <c r="H152" s="20">
        <f t="shared" si="74"/>
        <v>2031</v>
      </c>
      <c r="I152" s="20">
        <f t="shared" si="74"/>
        <v>2032</v>
      </c>
      <c r="J152" s="20">
        <f t="shared" si="74"/>
        <v>2033</v>
      </c>
      <c r="K152" s="20">
        <f t="shared" si="74"/>
        <v>2034</v>
      </c>
      <c r="L152" s="20">
        <f t="shared" si="74"/>
        <v>2035</v>
      </c>
      <c r="M152" s="20">
        <f t="shared" si="74"/>
        <v>2036</v>
      </c>
      <c r="N152" s="21"/>
      <c r="O152" s="21"/>
      <c r="P152" s="21"/>
      <c r="Q152" s="21"/>
      <c r="R152" s="21"/>
      <c r="S152" s="21"/>
      <c r="T152" s="21"/>
      <c r="U152" s="21"/>
      <c r="V152" s="21"/>
      <c r="W152" s="21"/>
      <c r="X152" s="21"/>
      <c r="Y152" s="21"/>
      <c r="Z152" s="21"/>
      <c r="AA152" s="21"/>
    </row>
    <row r="153" spans="1:27" ht="18.5" x14ac:dyDescent="0.45">
      <c r="A153" s="145" t="s">
        <v>68</v>
      </c>
      <c r="D153" s="1"/>
      <c r="E153" s="1"/>
      <c r="F153" s="1"/>
      <c r="G153" s="1"/>
      <c r="H153" s="1"/>
      <c r="I153" s="1"/>
      <c r="J153" s="1"/>
      <c r="K153" s="1"/>
      <c r="L153" s="1"/>
      <c r="M153" s="1"/>
    </row>
    <row r="154" spans="1:27" s="10" customFormat="1" ht="13" x14ac:dyDescent="0.3">
      <c r="A154" s="40" t="s">
        <v>108</v>
      </c>
      <c r="C154" s="12"/>
      <c r="D154" s="12"/>
      <c r="E154" s="12"/>
      <c r="F154" s="12"/>
      <c r="G154" s="12"/>
      <c r="H154" s="12"/>
      <c r="I154" s="12"/>
      <c r="J154" s="12"/>
      <c r="K154" s="12"/>
      <c r="L154" s="12"/>
      <c r="M154" s="12"/>
    </row>
    <row r="155" spans="1:27" s="10" customFormat="1" ht="16.899999999999999" customHeight="1" x14ac:dyDescent="0.3">
      <c r="A155" s="76" t="s">
        <v>72</v>
      </c>
      <c r="B155" s="76" t="s">
        <v>71</v>
      </c>
      <c r="C155" s="80"/>
      <c r="D155" s="79">
        <v>0.06</v>
      </c>
      <c r="E155" s="79">
        <f>D155</f>
        <v>0.06</v>
      </c>
      <c r="F155" s="79">
        <f t="shared" ref="F155" si="75">E155</f>
        <v>0.06</v>
      </c>
      <c r="G155" s="79">
        <f t="shared" ref="G155" si="76">F155</f>
        <v>0.06</v>
      </c>
      <c r="H155" s="79">
        <f t="shared" ref="H155" si="77">G155</f>
        <v>0.06</v>
      </c>
      <c r="I155" s="79">
        <f t="shared" ref="I155" si="78">H155</f>
        <v>0.06</v>
      </c>
      <c r="J155" s="79">
        <f t="shared" ref="J155" si="79">I155</f>
        <v>0.06</v>
      </c>
      <c r="K155" s="79">
        <f t="shared" ref="K155" si="80">J155</f>
        <v>0.06</v>
      </c>
      <c r="L155" s="79">
        <f t="shared" ref="L155" si="81">K155</f>
        <v>0.06</v>
      </c>
      <c r="M155" s="79">
        <f t="shared" ref="M155" si="82">L155</f>
        <v>0.06</v>
      </c>
    </row>
    <row r="156" spans="1:27" s="63" customFormat="1" ht="13" x14ac:dyDescent="0.3">
      <c r="A156" s="63" t="str">
        <f>A153</f>
        <v>Government Royalties</v>
      </c>
      <c r="B156" s="10" t="s">
        <v>54</v>
      </c>
      <c r="C156" s="80">
        <f>SUM(D156:M156)</f>
        <v>91.479568356000001</v>
      </c>
      <c r="D156" s="80">
        <f t="shared" ref="D156:M156" si="83">D90*D155</f>
        <v>0</v>
      </c>
      <c r="E156" s="80">
        <f t="shared" si="83"/>
        <v>0</v>
      </c>
      <c r="F156" s="80">
        <f t="shared" si="83"/>
        <v>5.8106201280000001</v>
      </c>
      <c r="G156" s="80">
        <f t="shared" si="83"/>
        <v>16.775903699999997</v>
      </c>
      <c r="H156" s="80">
        <f t="shared" si="83"/>
        <v>14.762795256</v>
      </c>
      <c r="I156" s="80">
        <f t="shared" si="83"/>
        <v>17.446939848</v>
      </c>
      <c r="J156" s="80">
        <f t="shared" si="83"/>
        <v>15.433831404000001</v>
      </c>
      <c r="K156" s="80">
        <f t="shared" si="83"/>
        <v>15.433831404000001</v>
      </c>
      <c r="L156" s="80">
        <f t="shared" si="83"/>
        <v>5.8156466160000004</v>
      </c>
      <c r="M156" s="80">
        <f t="shared" si="83"/>
        <v>0</v>
      </c>
    </row>
    <row r="157" spans="1:27" x14ac:dyDescent="0.35">
      <c r="A157" s="105"/>
      <c r="D157" s="1"/>
      <c r="E157" s="1"/>
      <c r="F157" s="1"/>
      <c r="G157" s="1"/>
      <c r="H157" s="1"/>
      <c r="I157" s="1"/>
      <c r="J157" s="1"/>
      <c r="K157" s="1"/>
      <c r="L157" s="1"/>
      <c r="M157" s="1"/>
    </row>
    <row r="158" spans="1:27" ht="18.5" x14ac:dyDescent="0.45">
      <c r="A158" s="145" t="s">
        <v>73</v>
      </c>
      <c r="D158" s="1"/>
      <c r="E158" s="1"/>
      <c r="F158" s="1"/>
      <c r="G158" s="1"/>
      <c r="H158" s="1"/>
      <c r="I158" s="1"/>
      <c r="J158" s="1"/>
      <c r="K158" s="1"/>
      <c r="L158" s="1"/>
      <c r="M158" s="1"/>
    </row>
    <row r="159" spans="1:27" s="73" customFormat="1" ht="18.5" x14ac:dyDescent="0.35">
      <c r="A159" s="144" t="s">
        <v>155</v>
      </c>
    </row>
    <row r="160" spans="1:27" s="10" customFormat="1" ht="13" x14ac:dyDescent="0.3">
      <c r="A160" s="47" t="s">
        <v>112</v>
      </c>
      <c r="C160" s="83"/>
      <c r="D160" s="83"/>
      <c r="E160" s="83"/>
      <c r="F160" s="83"/>
      <c r="G160" s="83"/>
      <c r="H160" s="83"/>
      <c r="I160" s="83"/>
      <c r="J160" s="83"/>
      <c r="K160" s="83"/>
      <c r="L160" s="83"/>
      <c r="M160" s="83"/>
    </row>
    <row r="161" spans="1:27" s="10" customFormat="1" ht="13" x14ac:dyDescent="0.3">
      <c r="A161" s="47" t="s">
        <v>157</v>
      </c>
      <c r="C161" s="83"/>
      <c r="D161" s="83"/>
      <c r="E161" s="83"/>
      <c r="F161" s="83"/>
      <c r="G161" s="83"/>
      <c r="H161" s="83"/>
      <c r="I161" s="83"/>
      <c r="J161" s="83"/>
      <c r="K161" s="83"/>
      <c r="L161" s="83"/>
      <c r="M161" s="83"/>
    </row>
    <row r="162" spans="1:27" s="10" customFormat="1" ht="13" x14ac:dyDescent="0.3">
      <c r="A162" s="47" t="s">
        <v>158</v>
      </c>
      <c r="C162" s="83"/>
      <c r="D162" s="83"/>
      <c r="E162" s="83"/>
      <c r="F162" s="83"/>
      <c r="G162" s="83"/>
      <c r="H162" s="83"/>
      <c r="I162" s="83"/>
      <c r="J162" s="83"/>
      <c r="K162" s="83"/>
      <c r="L162" s="83"/>
      <c r="M162" s="83"/>
    </row>
    <row r="163" spans="1:27" s="10" customFormat="1" ht="13" x14ac:dyDescent="0.3">
      <c r="A163" s="47" t="s">
        <v>82</v>
      </c>
      <c r="C163" s="83"/>
      <c r="D163" s="83"/>
      <c r="E163" s="83"/>
      <c r="F163" s="83"/>
      <c r="G163" s="83"/>
      <c r="H163" s="83"/>
      <c r="I163" s="83"/>
      <c r="J163" s="83"/>
      <c r="K163" s="83"/>
      <c r="L163" s="83"/>
      <c r="M163" s="83"/>
    </row>
    <row r="164" spans="1:27" s="10" customFormat="1" ht="13" x14ac:dyDescent="0.3">
      <c r="A164" s="47" t="s">
        <v>83</v>
      </c>
      <c r="C164" s="83"/>
      <c r="D164" s="83"/>
      <c r="E164" s="83"/>
      <c r="F164" s="83"/>
      <c r="G164" s="83"/>
      <c r="H164" s="83"/>
      <c r="I164" s="83"/>
      <c r="J164" s="83"/>
      <c r="K164" s="83"/>
      <c r="L164" s="83"/>
      <c r="M164" s="83"/>
    </row>
    <row r="165" spans="1:27" ht="5" customHeight="1" x14ac:dyDescent="0.35">
      <c r="A165" s="75"/>
      <c r="D165" s="1"/>
      <c r="E165" s="1"/>
      <c r="F165" s="1"/>
      <c r="G165" s="1"/>
      <c r="H165" s="1"/>
      <c r="I165" s="1"/>
      <c r="J165" s="1"/>
      <c r="K165" s="1"/>
      <c r="L165" s="1"/>
      <c r="M165" s="1"/>
    </row>
    <row r="166" spans="1:27" x14ac:dyDescent="0.35">
      <c r="A166" s="40" t="s">
        <v>159</v>
      </c>
      <c r="D166" s="1"/>
      <c r="E166" s="1"/>
      <c r="F166" s="1"/>
      <c r="G166" s="1"/>
      <c r="H166" s="1"/>
      <c r="I166" s="1"/>
      <c r="J166" s="1"/>
      <c r="K166" s="1"/>
      <c r="L166" s="1"/>
      <c r="M166" s="1"/>
    </row>
    <row r="167" spans="1:27" s="10" customFormat="1" ht="13" x14ac:dyDescent="0.3">
      <c r="A167" s="40" t="s">
        <v>156</v>
      </c>
      <c r="C167" s="12"/>
      <c r="D167" s="12"/>
      <c r="E167" s="12"/>
      <c r="F167" s="12"/>
      <c r="G167" s="12"/>
      <c r="H167" s="12"/>
      <c r="I167" s="12"/>
      <c r="J167" s="12"/>
      <c r="K167" s="12"/>
      <c r="L167" s="12"/>
      <c r="M167" s="12"/>
    </row>
    <row r="168" spans="1:27" s="10" customFormat="1" ht="13" x14ac:dyDescent="0.3">
      <c r="C168" s="47" t="s">
        <v>134</v>
      </c>
      <c r="D168" s="12"/>
      <c r="E168" s="12"/>
      <c r="F168" s="12"/>
      <c r="G168" s="12"/>
      <c r="H168" s="12"/>
      <c r="I168" s="12"/>
      <c r="J168" s="12"/>
      <c r="K168" s="12"/>
      <c r="L168" s="12"/>
      <c r="M168" s="12"/>
    </row>
    <row r="169" spans="1:27" s="10" customFormat="1" ht="13" x14ac:dyDescent="0.3">
      <c r="A169" s="93" t="s">
        <v>13</v>
      </c>
      <c r="B169" s="93" t="s">
        <v>30</v>
      </c>
      <c r="C169" s="80"/>
      <c r="D169" s="82">
        <f>1/5*150%</f>
        <v>0.30000000000000004</v>
      </c>
      <c r="E169" s="82">
        <f>D169</f>
        <v>0.30000000000000004</v>
      </c>
      <c r="F169" s="82">
        <f t="shared" ref="F169:M169" si="84">E169</f>
        <v>0.30000000000000004</v>
      </c>
      <c r="G169" s="82">
        <f t="shared" si="84"/>
        <v>0.30000000000000004</v>
      </c>
      <c r="H169" s="82">
        <f t="shared" si="84"/>
        <v>0.30000000000000004</v>
      </c>
      <c r="I169" s="82">
        <f t="shared" si="84"/>
        <v>0.30000000000000004</v>
      </c>
      <c r="J169" s="82">
        <f t="shared" si="84"/>
        <v>0.30000000000000004</v>
      </c>
      <c r="K169" s="82">
        <f t="shared" si="84"/>
        <v>0.30000000000000004</v>
      </c>
      <c r="L169" s="82">
        <f t="shared" si="84"/>
        <v>0.30000000000000004</v>
      </c>
      <c r="M169" s="82">
        <f t="shared" si="84"/>
        <v>0.30000000000000004</v>
      </c>
    </row>
    <row r="170" spans="1:27" s="10" customFormat="1" ht="13" x14ac:dyDescent="0.3">
      <c r="A170" s="40" t="s">
        <v>160</v>
      </c>
      <c r="C170" s="12"/>
      <c r="D170" s="80"/>
      <c r="E170" s="80"/>
      <c r="F170" s="80"/>
      <c r="G170" s="80"/>
      <c r="H170" s="80"/>
      <c r="I170" s="80"/>
      <c r="J170" s="80"/>
      <c r="K170" s="80"/>
      <c r="L170" s="80"/>
      <c r="M170" s="80"/>
    </row>
    <row r="171" spans="1:27" s="10" customFormat="1" ht="13" x14ac:dyDescent="0.3">
      <c r="A171" s="10" t="s">
        <v>31</v>
      </c>
      <c r="B171" s="10" t="s">
        <v>54</v>
      </c>
      <c r="C171" s="80"/>
      <c r="D171" s="89">
        <v>8</v>
      </c>
      <c r="E171" s="80">
        <f>D177</f>
        <v>113</v>
      </c>
      <c r="F171" s="80">
        <f>E177</f>
        <v>288</v>
      </c>
      <c r="G171" s="80">
        <f t="shared" ref="G171:M171" si="85">F177</f>
        <v>211.39999999999998</v>
      </c>
      <c r="H171" s="80">
        <f t="shared" si="85"/>
        <v>157.77999999999997</v>
      </c>
      <c r="I171" s="80">
        <f t="shared" si="85"/>
        <v>120.24599999999998</v>
      </c>
      <c r="J171" s="80">
        <f t="shared" si="85"/>
        <v>93.972199999999987</v>
      </c>
      <c r="K171" s="80">
        <f t="shared" si="85"/>
        <v>75.580539999999985</v>
      </c>
      <c r="L171" s="80">
        <f t="shared" si="85"/>
        <v>62.706377999999987</v>
      </c>
      <c r="M171" s="80">
        <f t="shared" si="85"/>
        <v>0</v>
      </c>
    </row>
    <row r="172" spans="1:27" s="10" customFormat="1" ht="13" x14ac:dyDescent="0.3">
      <c r="A172" s="10" t="s">
        <v>35</v>
      </c>
      <c r="B172" s="10" t="s">
        <v>54</v>
      </c>
      <c r="C172" s="80">
        <f>SUM(D172:Z172)</f>
        <v>378</v>
      </c>
      <c r="D172" s="80">
        <f t="shared" ref="D172:M172" si="86">D103</f>
        <v>105</v>
      </c>
      <c r="E172" s="80">
        <f t="shared" si="86"/>
        <v>175</v>
      </c>
      <c r="F172" s="80">
        <f t="shared" si="86"/>
        <v>14</v>
      </c>
      <c r="G172" s="80">
        <f t="shared" si="86"/>
        <v>14</v>
      </c>
      <c r="H172" s="80">
        <f t="shared" si="86"/>
        <v>14</v>
      </c>
      <c r="I172" s="80">
        <f t="shared" si="86"/>
        <v>14</v>
      </c>
      <c r="J172" s="80">
        <f t="shared" si="86"/>
        <v>14</v>
      </c>
      <c r="K172" s="80">
        <f t="shared" si="86"/>
        <v>14</v>
      </c>
      <c r="L172" s="80">
        <f t="shared" si="86"/>
        <v>14</v>
      </c>
      <c r="M172" s="80">
        <f t="shared" si="86"/>
        <v>0</v>
      </c>
    </row>
    <row r="173" spans="1:27" s="10" customFormat="1" ht="13" x14ac:dyDescent="0.3">
      <c r="A173" s="10" t="s">
        <v>75</v>
      </c>
      <c r="B173" s="10" t="s">
        <v>54</v>
      </c>
      <c r="C173" s="80"/>
      <c r="D173" s="80">
        <f t="shared" ref="D173:M173" si="87">D171+D172</f>
        <v>113</v>
      </c>
      <c r="E173" s="80">
        <f t="shared" si="87"/>
        <v>288</v>
      </c>
      <c r="F173" s="80">
        <f t="shared" si="87"/>
        <v>302</v>
      </c>
      <c r="G173" s="80">
        <f t="shared" si="87"/>
        <v>225.39999999999998</v>
      </c>
      <c r="H173" s="80">
        <f t="shared" si="87"/>
        <v>171.77999999999997</v>
      </c>
      <c r="I173" s="80">
        <f t="shared" si="87"/>
        <v>134.24599999999998</v>
      </c>
      <c r="J173" s="80">
        <f t="shared" si="87"/>
        <v>107.97219999999999</v>
      </c>
      <c r="K173" s="80">
        <f t="shared" si="87"/>
        <v>89.580539999999985</v>
      </c>
      <c r="L173" s="80">
        <f t="shared" si="87"/>
        <v>76.706377999999987</v>
      </c>
      <c r="M173" s="80">
        <f t="shared" si="87"/>
        <v>0</v>
      </c>
    </row>
    <row r="174" spans="1:27" s="10" customFormat="1" ht="13" x14ac:dyDescent="0.3">
      <c r="A174" s="10" t="s">
        <v>32</v>
      </c>
      <c r="B174" s="10" t="s">
        <v>54</v>
      </c>
      <c r="C174" s="80">
        <f>SUM(D174:Z174)</f>
        <v>1107.6851179999999</v>
      </c>
      <c r="D174" s="80">
        <f t="shared" ref="D174:M174" si="88">IF(D90=0,0,D173)</f>
        <v>0</v>
      </c>
      <c r="E174" s="80">
        <f t="shared" si="88"/>
        <v>0</v>
      </c>
      <c r="F174" s="80">
        <f t="shared" si="88"/>
        <v>302</v>
      </c>
      <c r="G174" s="80">
        <f t="shared" si="88"/>
        <v>225.39999999999998</v>
      </c>
      <c r="H174" s="80">
        <f t="shared" si="88"/>
        <v>171.77999999999997</v>
      </c>
      <c r="I174" s="80">
        <f t="shared" si="88"/>
        <v>134.24599999999998</v>
      </c>
      <c r="J174" s="80">
        <f t="shared" si="88"/>
        <v>107.97219999999999</v>
      </c>
      <c r="K174" s="80">
        <f t="shared" si="88"/>
        <v>89.580539999999985</v>
      </c>
      <c r="L174" s="80">
        <f t="shared" si="88"/>
        <v>76.706377999999987</v>
      </c>
      <c r="M174" s="80">
        <f t="shared" si="88"/>
        <v>0</v>
      </c>
    </row>
    <row r="175" spans="1:27" s="10" customFormat="1" ht="13" x14ac:dyDescent="0.3">
      <c r="A175" s="40" t="s">
        <v>107</v>
      </c>
      <c r="C175" s="83"/>
      <c r="D175" s="83"/>
      <c r="E175" s="83"/>
      <c r="F175" s="83"/>
      <c r="G175" s="83"/>
      <c r="H175" s="83"/>
      <c r="I175" s="83"/>
      <c r="J175" s="83"/>
      <c r="K175" s="83"/>
      <c r="L175" s="83"/>
      <c r="M175" s="83"/>
    </row>
    <row r="176" spans="1:27" s="63" customFormat="1" ht="13" x14ac:dyDescent="0.3">
      <c r="A176" s="100" t="s">
        <v>124</v>
      </c>
      <c r="B176" s="10" t="s">
        <v>54</v>
      </c>
      <c r="C176" s="77">
        <f>SUM(D176:Z176)</f>
        <v>386</v>
      </c>
      <c r="D176" s="148">
        <f t="shared" ref="D176:M176" si="89">IF(AND(D86&gt;0,E86=0),D174,D169*D174)</f>
        <v>0</v>
      </c>
      <c r="E176" s="148">
        <f t="shared" si="89"/>
        <v>0</v>
      </c>
      <c r="F176" s="148">
        <f t="shared" si="89"/>
        <v>90.600000000000009</v>
      </c>
      <c r="G176" s="148">
        <f t="shared" si="89"/>
        <v>67.62</v>
      </c>
      <c r="H176" s="148">
        <f t="shared" si="89"/>
        <v>51.533999999999999</v>
      </c>
      <c r="I176" s="148">
        <f t="shared" si="89"/>
        <v>40.273800000000001</v>
      </c>
      <c r="J176" s="148">
        <f t="shared" si="89"/>
        <v>32.391660000000002</v>
      </c>
      <c r="K176" s="148">
        <f t="shared" si="89"/>
        <v>26.874161999999998</v>
      </c>
      <c r="L176" s="148">
        <f t="shared" si="89"/>
        <v>76.706377999999987</v>
      </c>
      <c r="M176" s="148">
        <f t="shared" si="89"/>
        <v>0</v>
      </c>
      <c r="N176" s="10"/>
      <c r="O176" s="10"/>
      <c r="P176" s="10"/>
      <c r="Q176" s="10"/>
      <c r="R176" s="10"/>
      <c r="S176" s="10"/>
      <c r="T176" s="10"/>
      <c r="U176" s="10"/>
      <c r="V176" s="10"/>
      <c r="W176" s="10"/>
      <c r="X176" s="10"/>
      <c r="Y176" s="10"/>
      <c r="Z176" s="10"/>
      <c r="AA176" s="10"/>
    </row>
    <row r="177" spans="1:13" s="10" customFormat="1" ht="13" x14ac:dyDescent="0.3">
      <c r="A177" s="10" t="s">
        <v>33</v>
      </c>
      <c r="B177" s="10" t="s">
        <v>54</v>
      </c>
      <c r="C177" s="80"/>
      <c r="D177" s="80">
        <f>D173-D176</f>
        <v>113</v>
      </c>
      <c r="E177" s="80">
        <f>E173-E176</f>
        <v>288</v>
      </c>
      <c r="F177" s="80">
        <f>F173-F176</f>
        <v>211.39999999999998</v>
      </c>
      <c r="G177" s="80">
        <f t="shared" ref="G177:M177" si="90">G173-G176</f>
        <v>157.77999999999997</v>
      </c>
      <c r="H177" s="80">
        <f t="shared" si="90"/>
        <v>120.24599999999998</v>
      </c>
      <c r="I177" s="80">
        <f t="shared" si="90"/>
        <v>93.972199999999987</v>
      </c>
      <c r="J177" s="80">
        <f t="shared" si="90"/>
        <v>75.580539999999985</v>
      </c>
      <c r="K177" s="80">
        <f t="shared" si="90"/>
        <v>62.706377999999987</v>
      </c>
      <c r="L177" s="80">
        <f t="shared" si="90"/>
        <v>0</v>
      </c>
      <c r="M177" s="80">
        <f t="shared" si="90"/>
        <v>0</v>
      </c>
    </row>
    <row r="178" spans="1:13" s="10" customFormat="1" ht="13" x14ac:dyDescent="0.3">
      <c r="A178" s="146" t="s">
        <v>34</v>
      </c>
      <c r="C178" s="147" t="str">
        <f>IF(C103+D171=C176,"OK", "CHECK CALCs")</f>
        <v>OK</v>
      </c>
      <c r="D178" s="77"/>
      <c r="E178" s="77"/>
      <c r="F178" s="77"/>
      <c r="G178" s="77"/>
      <c r="H178" s="77"/>
      <c r="I178" s="77"/>
      <c r="J178" s="77"/>
      <c r="K178" s="77"/>
      <c r="L178" s="77"/>
      <c r="M178" s="77"/>
    </row>
    <row r="179" spans="1:13" x14ac:dyDescent="0.35">
      <c r="A179" s="7"/>
      <c r="D179" s="1"/>
      <c r="E179" s="1"/>
      <c r="F179" s="1"/>
      <c r="G179" s="1"/>
      <c r="H179" s="1"/>
      <c r="I179" s="1"/>
      <c r="J179" s="1"/>
      <c r="K179" s="1"/>
      <c r="L179" s="1"/>
      <c r="M179" s="1"/>
    </row>
    <row r="180" spans="1:13" s="73" customFormat="1" ht="18.5" x14ac:dyDescent="0.35">
      <c r="A180" s="75" t="s">
        <v>161</v>
      </c>
    </row>
    <row r="181" spans="1:13" s="10" customFormat="1" ht="13" x14ac:dyDescent="0.3">
      <c r="A181" s="47" t="s">
        <v>122</v>
      </c>
      <c r="C181" s="12"/>
      <c r="D181" s="12"/>
      <c r="E181" s="12"/>
      <c r="F181" s="12"/>
      <c r="G181" s="12"/>
      <c r="H181" s="12"/>
      <c r="I181" s="12"/>
      <c r="J181" s="12"/>
      <c r="K181" s="12"/>
      <c r="L181" s="12"/>
      <c r="M181" s="12"/>
    </row>
    <row r="182" spans="1:13" s="10" customFormat="1" ht="13" x14ac:dyDescent="0.3">
      <c r="A182" s="47" t="s">
        <v>74</v>
      </c>
      <c r="C182" s="12"/>
      <c r="D182" s="12"/>
      <c r="E182" s="12"/>
      <c r="F182" s="12"/>
      <c r="G182" s="12"/>
      <c r="H182" s="12"/>
      <c r="I182" s="12"/>
      <c r="J182" s="12"/>
      <c r="K182" s="12"/>
      <c r="L182" s="12"/>
      <c r="M182" s="12"/>
    </row>
    <row r="183" spans="1:13" s="10" customFormat="1" ht="13" x14ac:dyDescent="0.3">
      <c r="A183" s="47" t="s">
        <v>123</v>
      </c>
      <c r="C183" s="12"/>
      <c r="D183" s="12"/>
      <c r="E183" s="12"/>
      <c r="F183" s="12"/>
      <c r="G183" s="12"/>
      <c r="H183" s="12"/>
      <c r="I183" s="12"/>
      <c r="J183" s="12"/>
      <c r="K183" s="12"/>
      <c r="L183" s="12"/>
      <c r="M183" s="12"/>
    </row>
    <row r="184" spans="1:13" s="10" customFormat="1" ht="8.5" customHeight="1" x14ac:dyDescent="0.3">
      <c r="A184" s="47"/>
      <c r="C184" s="12"/>
      <c r="D184" s="12"/>
      <c r="E184" s="12"/>
      <c r="F184" s="12"/>
      <c r="G184" s="12"/>
      <c r="H184" s="12"/>
      <c r="I184" s="12"/>
      <c r="J184" s="12"/>
      <c r="K184" s="12"/>
      <c r="L184" s="12"/>
      <c r="M184" s="12"/>
    </row>
    <row r="185" spans="1:13" s="10" customFormat="1" ht="13" x14ac:dyDescent="0.3">
      <c r="A185" s="40" t="s">
        <v>109</v>
      </c>
      <c r="C185" s="12"/>
      <c r="D185" s="12"/>
      <c r="E185" s="12"/>
      <c r="F185" s="12"/>
      <c r="G185" s="12"/>
      <c r="H185" s="12"/>
      <c r="I185" s="12"/>
      <c r="J185" s="12"/>
      <c r="K185" s="12"/>
      <c r="L185" s="12"/>
      <c r="M185" s="12"/>
    </row>
    <row r="186" spans="1:13" s="63" customFormat="1" ht="13" x14ac:dyDescent="0.3">
      <c r="A186" s="63" t="str">
        <f>A90</f>
        <v>Cashstream 1: Revenue</v>
      </c>
      <c r="B186" s="63" t="str">
        <f>B90</f>
        <v>US$ millions real</v>
      </c>
      <c r="C186" s="80">
        <f t="shared" ref="C186:C191" si="91">SUM(D186:M186)</f>
        <v>1524.6594726000001</v>
      </c>
      <c r="D186" s="80">
        <f t="shared" ref="D186:M186" si="92">D90</f>
        <v>0</v>
      </c>
      <c r="E186" s="80">
        <f t="shared" si="92"/>
        <v>0</v>
      </c>
      <c r="F186" s="80">
        <f t="shared" si="92"/>
        <v>96.843668800000003</v>
      </c>
      <c r="G186" s="80">
        <f t="shared" si="92"/>
        <v>279.59839499999998</v>
      </c>
      <c r="H186" s="80">
        <f t="shared" si="92"/>
        <v>246.04658760000001</v>
      </c>
      <c r="I186" s="80">
        <f t="shared" si="92"/>
        <v>290.78233080000001</v>
      </c>
      <c r="J186" s="80">
        <f t="shared" si="92"/>
        <v>257.23052340000004</v>
      </c>
      <c r="K186" s="80">
        <f t="shared" si="92"/>
        <v>257.23052340000004</v>
      </c>
      <c r="L186" s="80">
        <f t="shared" si="92"/>
        <v>96.927443600000004</v>
      </c>
      <c r="M186" s="80">
        <f t="shared" si="92"/>
        <v>0</v>
      </c>
    </row>
    <row r="187" spans="1:13" s="63" customFormat="1" ht="14.25" customHeight="1" x14ac:dyDescent="0.3">
      <c r="A187" s="63" t="s">
        <v>16</v>
      </c>
      <c r="C187" s="80"/>
      <c r="D187" s="80"/>
      <c r="E187" s="80"/>
      <c r="F187" s="80"/>
      <c r="G187" s="80"/>
      <c r="H187" s="80"/>
      <c r="I187" s="80"/>
      <c r="J187" s="80"/>
      <c r="K187" s="80"/>
      <c r="L187" s="80"/>
      <c r="M187" s="80"/>
    </row>
    <row r="188" spans="1:13" s="63" customFormat="1" ht="13" x14ac:dyDescent="0.3">
      <c r="A188" s="63" t="str">
        <f>A147</f>
        <v>Cashstream 3: Operating Costs</v>
      </c>
      <c r="B188" s="63" t="str">
        <f>B147</f>
        <v>US$ millions real</v>
      </c>
      <c r="C188" s="106">
        <f t="shared" si="91"/>
        <v>709.11173681500009</v>
      </c>
      <c r="D188" s="106">
        <f t="shared" ref="D188:M188" si="93">D147</f>
        <v>0</v>
      </c>
      <c r="E188" s="106">
        <f t="shared" si="93"/>
        <v>10.5</v>
      </c>
      <c r="F188" s="106">
        <f t="shared" si="93"/>
        <v>63.303091719999991</v>
      </c>
      <c r="G188" s="106">
        <f t="shared" si="93"/>
        <v>114.146209875</v>
      </c>
      <c r="H188" s="106">
        <f t="shared" si="93"/>
        <v>109.50266469</v>
      </c>
      <c r="I188" s="106">
        <f t="shared" si="93"/>
        <v>115.69405827000001</v>
      </c>
      <c r="J188" s="106">
        <f t="shared" si="93"/>
        <v>105.80051308499999</v>
      </c>
      <c r="K188" s="106">
        <f t="shared" si="93"/>
        <v>104.05051308499999</v>
      </c>
      <c r="L188" s="106">
        <f t="shared" si="93"/>
        <v>41.114686090000006</v>
      </c>
      <c r="M188" s="106">
        <f t="shared" si="93"/>
        <v>45</v>
      </c>
    </row>
    <row r="189" spans="1:13" s="63" customFormat="1" ht="13" x14ac:dyDescent="0.3">
      <c r="A189" s="63" t="str">
        <f>A156</f>
        <v>Government Royalties</v>
      </c>
      <c r="B189" s="63" t="str">
        <f>B156</f>
        <v>US$ millions real</v>
      </c>
      <c r="C189" s="106">
        <f t="shared" si="91"/>
        <v>91.479568356000001</v>
      </c>
      <c r="D189" s="106">
        <f t="shared" ref="D189:M189" si="94">D156</f>
        <v>0</v>
      </c>
      <c r="E189" s="106">
        <f t="shared" si="94"/>
        <v>0</v>
      </c>
      <c r="F189" s="106">
        <f t="shared" si="94"/>
        <v>5.8106201280000001</v>
      </c>
      <c r="G189" s="106">
        <f t="shared" si="94"/>
        <v>16.775903699999997</v>
      </c>
      <c r="H189" s="106">
        <f t="shared" si="94"/>
        <v>14.762795256</v>
      </c>
      <c r="I189" s="106">
        <f t="shared" si="94"/>
        <v>17.446939848</v>
      </c>
      <c r="J189" s="106">
        <f t="shared" si="94"/>
        <v>15.433831404000001</v>
      </c>
      <c r="K189" s="106">
        <f t="shared" si="94"/>
        <v>15.433831404000001</v>
      </c>
      <c r="L189" s="106">
        <f t="shared" si="94"/>
        <v>5.8156466160000004</v>
      </c>
      <c r="M189" s="106">
        <f t="shared" si="94"/>
        <v>0</v>
      </c>
    </row>
    <row r="190" spans="1:13" s="63" customFormat="1" ht="13" x14ac:dyDescent="0.3">
      <c r="A190" s="63" t="str">
        <f>A176</f>
        <v>Tax deductions for capital expenditure</v>
      </c>
      <c r="B190" s="63" t="str">
        <f>B176</f>
        <v>US$ millions real</v>
      </c>
      <c r="C190" s="106">
        <f t="shared" si="91"/>
        <v>386</v>
      </c>
      <c r="D190" s="106">
        <f t="shared" ref="D190:M190" si="95">D176</f>
        <v>0</v>
      </c>
      <c r="E190" s="106">
        <f t="shared" si="95"/>
        <v>0</v>
      </c>
      <c r="F190" s="106">
        <f t="shared" si="95"/>
        <v>90.600000000000009</v>
      </c>
      <c r="G190" s="106">
        <f t="shared" si="95"/>
        <v>67.62</v>
      </c>
      <c r="H190" s="106">
        <f t="shared" si="95"/>
        <v>51.533999999999999</v>
      </c>
      <c r="I190" s="106">
        <f t="shared" si="95"/>
        <v>40.273800000000001</v>
      </c>
      <c r="J190" s="106">
        <f t="shared" si="95"/>
        <v>32.391660000000002</v>
      </c>
      <c r="K190" s="106">
        <f t="shared" si="95"/>
        <v>26.874161999999998</v>
      </c>
      <c r="L190" s="106">
        <f t="shared" si="95"/>
        <v>76.706377999999987</v>
      </c>
      <c r="M190" s="106">
        <f t="shared" si="95"/>
        <v>0</v>
      </c>
    </row>
    <row r="191" spans="1:13" s="63" customFormat="1" ht="13" x14ac:dyDescent="0.3">
      <c r="A191" s="63" t="s">
        <v>77</v>
      </c>
      <c r="B191" s="63" t="s">
        <v>54</v>
      </c>
      <c r="C191" s="106">
        <f t="shared" si="91"/>
        <v>338.06816742900014</v>
      </c>
      <c r="D191" s="107">
        <f t="shared" ref="D191:M191" si="96">D186-SUM(D188:D190)</f>
        <v>0</v>
      </c>
      <c r="E191" s="107">
        <f t="shared" si="96"/>
        <v>-10.5</v>
      </c>
      <c r="F191" s="107">
        <f t="shared" si="96"/>
        <v>-62.870043047999999</v>
      </c>
      <c r="G191" s="107">
        <f t="shared" si="96"/>
        <v>81.05628142499998</v>
      </c>
      <c r="H191" s="107">
        <f>H186-SUM(H188:H190)</f>
        <v>70.247127653999996</v>
      </c>
      <c r="I191" s="107">
        <f t="shared" si="96"/>
        <v>117.36753268199999</v>
      </c>
      <c r="J191" s="107">
        <f t="shared" si="96"/>
        <v>103.60451891100004</v>
      </c>
      <c r="K191" s="107">
        <f t="shared" si="96"/>
        <v>110.87201691100006</v>
      </c>
      <c r="L191" s="107">
        <f t="shared" si="96"/>
        <v>-26.709267105999999</v>
      </c>
      <c r="M191" s="107">
        <f t="shared" si="96"/>
        <v>-45</v>
      </c>
    </row>
    <row r="192" spans="1:13" s="63" customFormat="1" ht="13" x14ac:dyDescent="0.3">
      <c r="C192" s="106"/>
      <c r="D192" s="106"/>
      <c r="E192" s="106"/>
      <c r="F192" s="106"/>
      <c r="G192" s="106"/>
      <c r="H192" s="106"/>
      <c r="I192" s="106"/>
      <c r="J192" s="106"/>
      <c r="K192" s="106"/>
      <c r="L192" s="106"/>
      <c r="M192" s="106"/>
    </row>
    <row r="193" spans="1:27" s="10" customFormat="1" ht="13" x14ac:dyDescent="0.3">
      <c r="A193" s="47" t="s">
        <v>128</v>
      </c>
      <c r="C193" s="12"/>
      <c r="D193" s="12"/>
      <c r="E193" s="12"/>
      <c r="F193" s="12"/>
      <c r="G193" s="12"/>
      <c r="H193" s="12"/>
      <c r="I193" s="12"/>
      <c r="J193" s="12"/>
      <c r="K193" s="12"/>
      <c r="L193" s="12"/>
      <c r="M193" s="12"/>
    </row>
    <row r="194" spans="1:27" s="10" customFormat="1" ht="13" x14ac:dyDescent="0.3">
      <c r="A194" s="47" t="s">
        <v>129</v>
      </c>
      <c r="C194" s="12"/>
      <c r="D194" s="12"/>
      <c r="E194" s="12"/>
      <c r="F194" s="12"/>
      <c r="G194" s="12"/>
      <c r="H194" s="12"/>
      <c r="I194" s="12"/>
      <c r="J194" s="12"/>
      <c r="K194" s="12"/>
      <c r="L194" s="12"/>
      <c r="M194" s="12"/>
    </row>
    <row r="195" spans="1:27" s="10" customFormat="1" ht="13" x14ac:dyDescent="0.3">
      <c r="A195" s="47" t="s">
        <v>130</v>
      </c>
      <c r="C195" s="12"/>
      <c r="D195" s="12"/>
      <c r="E195" s="12"/>
      <c r="F195" s="12"/>
      <c r="G195" s="12"/>
      <c r="H195" s="12"/>
      <c r="I195" s="12"/>
      <c r="J195" s="12"/>
      <c r="K195" s="12"/>
      <c r="L195" s="12"/>
      <c r="M195" s="12"/>
    </row>
    <row r="196" spans="1:27" s="10" customFormat="1" ht="13" x14ac:dyDescent="0.3">
      <c r="A196" s="47" t="s">
        <v>132</v>
      </c>
      <c r="C196" s="12"/>
      <c r="D196" s="12"/>
      <c r="E196" s="12"/>
      <c r="F196" s="12"/>
      <c r="G196" s="12"/>
      <c r="H196" s="12"/>
      <c r="I196" s="12"/>
      <c r="J196" s="12"/>
      <c r="K196" s="12"/>
      <c r="L196" s="12"/>
      <c r="M196" s="12"/>
    </row>
    <row r="197" spans="1:27" s="63" customFormat="1" ht="13" x14ac:dyDescent="0.3">
      <c r="A197" s="108" t="s">
        <v>162</v>
      </c>
      <c r="C197" s="106"/>
      <c r="D197" s="106"/>
      <c r="E197" s="106"/>
      <c r="F197" s="106"/>
      <c r="G197" s="106"/>
      <c r="H197" s="106"/>
      <c r="I197" s="106"/>
      <c r="J197" s="106"/>
      <c r="K197" s="106"/>
      <c r="L197" s="106"/>
      <c r="M197" s="106"/>
    </row>
    <row r="198" spans="1:27" s="63" customFormat="1" ht="13" x14ac:dyDescent="0.3">
      <c r="A198" s="63" t="s">
        <v>127</v>
      </c>
      <c r="B198" s="63" t="s">
        <v>54</v>
      </c>
      <c r="C198" s="106"/>
      <c r="D198" s="106">
        <v>0</v>
      </c>
      <c r="E198" s="106">
        <f>D201</f>
        <v>0</v>
      </c>
      <c r="F198" s="106">
        <f t="shared" ref="F198:M198" si="97">E201</f>
        <v>-10.5</v>
      </c>
      <c r="G198" s="106">
        <f t="shared" si="97"/>
        <v>-73.370043047999999</v>
      </c>
      <c r="H198" s="106">
        <f t="shared" si="97"/>
        <v>0</v>
      </c>
      <c r="I198" s="106">
        <f t="shared" si="97"/>
        <v>0</v>
      </c>
      <c r="J198" s="106">
        <f t="shared" si="97"/>
        <v>0</v>
      </c>
      <c r="K198" s="106">
        <f t="shared" si="97"/>
        <v>0</v>
      </c>
      <c r="L198" s="106">
        <f t="shared" si="97"/>
        <v>0</v>
      </c>
      <c r="M198" s="106">
        <f t="shared" si="97"/>
        <v>-26.709267105999999</v>
      </c>
    </row>
    <row r="199" spans="1:27" s="63" customFormat="1" ht="13" x14ac:dyDescent="0.3">
      <c r="A199" s="63" t="s">
        <v>125</v>
      </c>
      <c r="B199" s="63" t="s">
        <v>54</v>
      </c>
      <c r="C199" s="106">
        <f t="shared" ref="C199:C200" si="98">SUM(D199:M199)</f>
        <v>338.06816742900014</v>
      </c>
      <c r="D199" s="106">
        <f>D191</f>
        <v>0</v>
      </c>
      <c r="E199" s="106">
        <f t="shared" ref="E199:M199" si="99">E191</f>
        <v>-10.5</v>
      </c>
      <c r="F199" s="106">
        <f t="shared" si="99"/>
        <v>-62.870043047999999</v>
      </c>
      <c r="G199" s="106">
        <f t="shared" si="99"/>
        <v>81.05628142499998</v>
      </c>
      <c r="H199" s="106">
        <f t="shared" si="99"/>
        <v>70.247127653999996</v>
      </c>
      <c r="I199" s="106">
        <f t="shared" si="99"/>
        <v>117.36753268199999</v>
      </c>
      <c r="J199" s="106">
        <f t="shared" si="99"/>
        <v>103.60451891100004</v>
      </c>
      <c r="K199" s="106">
        <f t="shared" si="99"/>
        <v>110.87201691100006</v>
      </c>
      <c r="L199" s="106">
        <f t="shared" si="99"/>
        <v>-26.709267105999999</v>
      </c>
      <c r="M199" s="106">
        <f t="shared" si="99"/>
        <v>-45</v>
      </c>
    </row>
    <row r="200" spans="1:27" s="63" customFormat="1" ht="13" x14ac:dyDescent="0.3">
      <c r="A200" s="63" t="s">
        <v>131</v>
      </c>
      <c r="B200" s="63" t="s">
        <v>54</v>
      </c>
      <c r="C200" s="106">
        <f t="shared" si="98"/>
        <v>409.77743453500011</v>
      </c>
      <c r="D200" s="106">
        <f>IF(D198+D199&gt;0,D198+D199,0)</f>
        <v>0</v>
      </c>
      <c r="E200" s="106">
        <f t="shared" ref="E200:M200" si="100">IF(E198+E199&gt;0,E198+E199,0)</f>
        <v>0</v>
      </c>
      <c r="F200" s="106">
        <f t="shared" si="100"/>
        <v>0</v>
      </c>
      <c r="G200" s="106">
        <f t="shared" si="100"/>
        <v>7.6862383769999809</v>
      </c>
      <c r="H200" s="106">
        <f t="shared" si="100"/>
        <v>70.247127653999996</v>
      </c>
      <c r="I200" s="106">
        <f t="shared" si="100"/>
        <v>117.36753268199999</v>
      </c>
      <c r="J200" s="106">
        <f t="shared" si="100"/>
        <v>103.60451891100004</v>
      </c>
      <c r="K200" s="106">
        <f t="shared" si="100"/>
        <v>110.87201691100006</v>
      </c>
      <c r="L200" s="106">
        <f t="shared" si="100"/>
        <v>0</v>
      </c>
      <c r="M200" s="106">
        <f t="shared" si="100"/>
        <v>0</v>
      </c>
    </row>
    <row r="201" spans="1:27" s="63" customFormat="1" ht="13" x14ac:dyDescent="0.3">
      <c r="A201" s="63" t="s">
        <v>126</v>
      </c>
      <c r="B201" s="63" t="s">
        <v>54</v>
      </c>
      <c r="C201" s="106"/>
      <c r="D201" s="106">
        <f>IF(D198+D199&lt;0,D198+D199,0)</f>
        <v>0</v>
      </c>
      <c r="E201" s="106">
        <f t="shared" ref="E201:M201" si="101">IF(E198+E199&lt;0,E198+E199,0)</f>
        <v>-10.5</v>
      </c>
      <c r="F201" s="106">
        <f t="shared" si="101"/>
        <v>-73.370043047999999</v>
      </c>
      <c r="G201" s="106">
        <f t="shared" si="101"/>
        <v>0</v>
      </c>
      <c r="H201" s="106">
        <f t="shared" si="101"/>
        <v>0</v>
      </c>
      <c r="I201" s="106">
        <f t="shared" si="101"/>
        <v>0</v>
      </c>
      <c r="J201" s="106">
        <f t="shared" si="101"/>
        <v>0</v>
      </c>
      <c r="K201" s="106">
        <f t="shared" si="101"/>
        <v>0</v>
      </c>
      <c r="L201" s="106">
        <f t="shared" si="101"/>
        <v>-26.709267105999999</v>
      </c>
      <c r="M201" s="106">
        <f t="shared" si="101"/>
        <v>-71.709267105999999</v>
      </c>
    </row>
    <row r="202" spans="1:27" s="63" customFormat="1" ht="13" x14ac:dyDescent="0.3">
      <c r="C202" s="106"/>
      <c r="D202" s="106"/>
      <c r="E202" s="106"/>
      <c r="F202" s="106"/>
      <c r="G202" s="106"/>
      <c r="H202" s="106"/>
      <c r="I202" s="106"/>
      <c r="J202" s="106"/>
      <c r="K202" s="106"/>
      <c r="L202" s="106"/>
      <c r="M202" s="106"/>
    </row>
    <row r="203" spans="1:27" s="10" customFormat="1" ht="13" x14ac:dyDescent="0.3">
      <c r="A203" s="93" t="s">
        <v>19</v>
      </c>
      <c r="B203" s="93" t="s">
        <v>20</v>
      </c>
      <c r="C203" s="83"/>
      <c r="D203" s="82">
        <v>0.3</v>
      </c>
      <c r="E203" s="82">
        <f>D203</f>
        <v>0.3</v>
      </c>
      <c r="F203" s="82">
        <f t="shared" ref="F203:M203" si="102">E203</f>
        <v>0.3</v>
      </c>
      <c r="G203" s="82">
        <f t="shared" si="102"/>
        <v>0.3</v>
      </c>
      <c r="H203" s="82">
        <f t="shared" si="102"/>
        <v>0.3</v>
      </c>
      <c r="I203" s="82">
        <f t="shared" si="102"/>
        <v>0.3</v>
      </c>
      <c r="J203" s="82">
        <f t="shared" si="102"/>
        <v>0.3</v>
      </c>
      <c r="K203" s="82">
        <f t="shared" si="102"/>
        <v>0.3</v>
      </c>
      <c r="L203" s="82">
        <f t="shared" si="102"/>
        <v>0.3</v>
      </c>
      <c r="M203" s="82">
        <f t="shared" si="102"/>
        <v>0.3</v>
      </c>
    </row>
    <row r="204" spans="1:27" s="63" customFormat="1" ht="13" x14ac:dyDescent="0.3">
      <c r="A204" s="63" t="s">
        <v>78</v>
      </c>
      <c r="B204" s="63" t="s">
        <v>54</v>
      </c>
      <c r="C204" s="106">
        <f>SUM(D204:M204)</f>
        <v>122.9332303605</v>
      </c>
      <c r="D204" s="106">
        <f>D200*D203</f>
        <v>0</v>
      </c>
      <c r="E204" s="106">
        <f t="shared" ref="E204:M204" si="103">E200*E203</f>
        <v>0</v>
      </c>
      <c r="F204" s="106">
        <f t="shared" si="103"/>
        <v>0</v>
      </c>
      <c r="G204" s="106">
        <f t="shared" si="103"/>
        <v>2.3058715130999943</v>
      </c>
      <c r="H204" s="106">
        <f t="shared" si="103"/>
        <v>21.074138296199997</v>
      </c>
      <c r="I204" s="106">
        <f t="shared" si="103"/>
        <v>35.210259804599993</v>
      </c>
      <c r="J204" s="106">
        <f t="shared" si="103"/>
        <v>31.08135567330001</v>
      </c>
      <c r="K204" s="106">
        <f t="shared" si="103"/>
        <v>33.261605073300018</v>
      </c>
      <c r="L204" s="106">
        <f t="shared" si="103"/>
        <v>0</v>
      </c>
      <c r="M204" s="106">
        <f t="shared" si="103"/>
        <v>0</v>
      </c>
    </row>
    <row r="205" spans="1:27" s="63" customFormat="1" ht="13" x14ac:dyDescent="0.3">
      <c r="A205" s="109"/>
      <c r="C205" s="80"/>
      <c r="D205" s="80"/>
      <c r="E205" s="80"/>
      <c r="F205" s="80"/>
      <c r="G205" s="80"/>
      <c r="H205" s="80"/>
      <c r="I205" s="80"/>
      <c r="J205" s="80"/>
      <c r="K205" s="80"/>
      <c r="L205" s="80"/>
      <c r="M205" s="80"/>
    </row>
    <row r="206" spans="1:27" s="94" customFormat="1" x14ac:dyDescent="0.35">
      <c r="A206" s="94" t="s">
        <v>15</v>
      </c>
      <c r="B206" s="63" t="s">
        <v>54</v>
      </c>
      <c r="C206" s="110">
        <f>SUM(D206:M206)</f>
        <v>214.41279871650002</v>
      </c>
      <c r="D206" s="110">
        <f t="shared" ref="D206:M206" si="104">D156+D204</f>
        <v>0</v>
      </c>
      <c r="E206" s="110">
        <f t="shared" si="104"/>
        <v>0</v>
      </c>
      <c r="F206" s="110">
        <f t="shared" si="104"/>
        <v>5.8106201280000001</v>
      </c>
      <c r="G206" s="110">
        <f t="shared" si="104"/>
        <v>19.081775213099991</v>
      </c>
      <c r="H206" s="110">
        <f t="shared" si="104"/>
        <v>35.836933552199994</v>
      </c>
      <c r="I206" s="110">
        <f t="shared" si="104"/>
        <v>52.657199652599992</v>
      </c>
      <c r="J206" s="110">
        <f t="shared" si="104"/>
        <v>46.515187077300013</v>
      </c>
      <c r="K206" s="110">
        <f t="shared" si="104"/>
        <v>48.695436477300021</v>
      </c>
      <c r="L206" s="110">
        <f t="shared" si="104"/>
        <v>5.8156466160000004</v>
      </c>
      <c r="M206" s="110">
        <f t="shared" si="104"/>
        <v>0</v>
      </c>
    </row>
    <row r="207" spans="1:27" x14ac:dyDescent="0.35">
      <c r="A207" s="7"/>
      <c r="D207" s="1"/>
      <c r="E207" s="1"/>
      <c r="F207" s="1"/>
      <c r="G207" s="1"/>
      <c r="H207" s="1"/>
      <c r="I207" s="1"/>
      <c r="J207" s="1"/>
      <c r="K207" s="1"/>
      <c r="L207" s="1"/>
      <c r="M207" s="1"/>
    </row>
    <row r="208" spans="1:27" s="87" customFormat="1" ht="21.75" customHeight="1" x14ac:dyDescent="0.35">
      <c r="A208" s="87" t="str">
        <f>A$76</f>
        <v>Years --&gt;</v>
      </c>
      <c r="B208" s="21" t="str">
        <f t="shared" ref="B208:M208" si="105">B$76</f>
        <v>units</v>
      </c>
      <c r="C208" s="88" t="str">
        <f t="shared" si="105"/>
        <v>Total</v>
      </c>
      <c r="D208" s="20">
        <f t="shared" si="105"/>
        <v>2027</v>
      </c>
      <c r="E208" s="20">
        <f t="shared" si="105"/>
        <v>2028</v>
      </c>
      <c r="F208" s="20">
        <f t="shared" si="105"/>
        <v>2029</v>
      </c>
      <c r="G208" s="20">
        <f t="shared" si="105"/>
        <v>2030</v>
      </c>
      <c r="H208" s="20">
        <f t="shared" si="105"/>
        <v>2031</v>
      </c>
      <c r="I208" s="20">
        <f t="shared" si="105"/>
        <v>2032</v>
      </c>
      <c r="J208" s="20">
        <f t="shared" si="105"/>
        <v>2033</v>
      </c>
      <c r="K208" s="20">
        <f t="shared" si="105"/>
        <v>2034</v>
      </c>
      <c r="L208" s="20">
        <f t="shared" si="105"/>
        <v>2035</v>
      </c>
      <c r="M208" s="20">
        <f t="shared" si="105"/>
        <v>2036</v>
      </c>
      <c r="N208" s="21"/>
      <c r="O208" s="21"/>
      <c r="P208" s="21"/>
      <c r="Q208" s="21"/>
      <c r="R208" s="21"/>
      <c r="S208" s="21"/>
      <c r="T208" s="21"/>
      <c r="U208" s="21"/>
      <c r="V208" s="21"/>
      <c r="W208" s="21"/>
      <c r="X208" s="21"/>
      <c r="Y208" s="21"/>
      <c r="Z208" s="21"/>
      <c r="AA208" s="21"/>
    </row>
    <row r="209" spans="1:13" s="73" customFormat="1" ht="32.25" customHeight="1" x14ac:dyDescent="0.35">
      <c r="A209" s="73" t="s">
        <v>166</v>
      </c>
    </row>
    <row r="210" spans="1:13" s="111" customFormat="1" ht="13" x14ac:dyDescent="0.3">
      <c r="A210" s="111" t="str">
        <f>A90</f>
        <v>Cashstream 1: Revenue</v>
      </c>
      <c r="B210" s="111" t="str">
        <f>B90</f>
        <v>US$ millions real</v>
      </c>
      <c r="C210" s="106">
        <f>SUM(D210:M210)</f>
        <v>1524.6594726000001</v>
      </c>
      <c r="D210" s="106">
        <f t="shared" ref="D210:M210" si="106">D90</f>
        <v>0</v>
      </c>
      <c r="E210" s="106">
        <f t="shared" si="106"/>
        <v>0</v>
      </c>
      <c r="F210" s="106">
        <f t="shared" si="106"/>
        <v>96.843668800000003</v>
      </c>
      <c r="G210" s="106">
        <f t="shared" si="106"/>
        <v>279.59839499999998</v>
      </c>
      <c r="H210" s="106">
        <f t="shared" si="106"/>
        <v>246.04658760000001</v>
      </c>
      <c r="I210" s="106">
        <f t="shared" si="106"/>
        <v>290.78233080000001</v>
      </c>
      <c r="J210" s="106">
        <f t="shared" si="106"/>
        <v>257.23052340000004</v>
      </c>
      <c r="K210" s="106">
        <f t="shared" si="106"/>
        <v>257.23052340000004</v>
      </c>
      <c r="L210" s="106">
        <f t="shared" si="106"/>
        <v>96.927443600000004</v>
      </c>
      <c r="M210" s="106">
        <f t="shared" si="106"/>
        <v>0</v>
      </c>
    </row>
    <row r="211" spans="1:13" s="111" customFormat="1" ht="13" x14ac:dyDescent="0.3">
      <c r="A211" s="111" t="str">
        <f>A103</f>
        <v>Cashstream 2: Capital Costs</v>
      </c>
      <c r="B211" s="111" t="str">
        <f>B103</f>
        <v>US$ millions real</v>
      </c>
      <c r="C211" s="106">
        <f>SUM(D211:M211)</f>
        <v>378</v>
      </c>
      <c r="D211" s="106">
        <f t="shared" ref="D211:M211" si="107">D103</f>
        <v>105</v>
      </c>
      <c r="E211" s="106">
        <f t="shared" si="107"/>
        <v>175</v>
      </c>
      <c r="F211" s="106">
        <f t="shared" si="107"/>
        <v>14</v>
      </c>
      <c r="G211" s="106">
        <f t="shared" si="107"/>
        <v>14</v>
      </c>
      <c r="H211" s="106">
        <f t="shared" si="107"/>
        <v>14</v>
      </c>
      <c r="I211" s="106">
        <f t="shared" si="107"/>
        <v>14</v>
      </c>
      <c r="J211" s="106">
        <f t="shared" si="107"/>
        <v>14</v>
      </c>
      <c r="K211" s="106">
        <f t="shared" si="107"/>
        <v>14</v>
      </c>
      <c r="L211" s="106">
        <f t="shared" si="107"/>
        <v>14</v>
      </c>
      <c r="M211" s="106">
        <f t="shared" si="107"/>
        <v>0</v>
      </c>
    </row>
    <row r="212" spans="1:13" s="111" customFormat="1" ht="13" x14ac:dyDescent="0.3">
      <c r="A212" s="111" t="str">
        <f>A147</f>
        <v>Cashstream 3: Operating Costs</v>
      </c>
      <c r="B212" s="111" t="str">
        <f>B147</f>
        <v>US$ millions real</v>
      </c>
      <c r="C212" s="106">
        <f>SUM(D212:M212)</f>
        <v>709.11173681500009</v>
      </c>
      <c r="D212" s="106">
        <f t="shared" ref="D212:M212" si="108">D147</f>
        <v>0</v>
      </c>
      <c r="E212" s="106">
        <f t="shared" si="108"/>
        <v>10.5</v>
      </c>
      <c r="F212" s="106">
        <f t="shared" si="108"/>
        <v>63.303091719999991</v>
      </c>
      <c r="G212" s="106">
        <f t="shared" si="108"/>
        <v>114.146209875</v>
      </c>
      <c r="H212" s="106">
        <f t="shared" si="108"/>
        <v>109.50266469</v>
      </c>
      <c r="I212" s="106">
        <f t="shared" si="108"/>
        <v>115.69405827000001</v>
      </c>
      <c r="J212" s="106">
        <f t="shared" si="108"/>
        <v>105.80051308499999</v>
      </c>
      <c r="K212" s="106">
        <f t="shared" si="108"/>
        <v>104.05051308499999</v>
      </c>
      <c r="L212" s="106">
        <f t="shared" si="108"/>
        <v>41.114686090000006</v>
      </c>
      <c r="M212" s="106">
        <f t="shared" si="108"/>
        <v>45</v>
      </c>
    </row>
    <row r="213" spans="1:13" s="111" customFormat="1" ht="13" x14ac:dyDescent="0.3">
      <c r="A213" s="111" t="str">
        <f>A206</f>
        <v>Cashstream 4: Taxes</v>
      </c>
      <c r="B213" s="111" t="str">
        <f>B206</f>
        <v>US$ millions real</v>
      </c>
      <c r="C213" s="106">
        <f>SUM(D213:M213)</f>
        <v>214.41279871650002</v>
      </c>
      <c r="D213" s="106">
        <f t="shared" ref="D213:M213" si="109">D206</f>
        <v>0</v>
      </c>
      <c r="E213" s="106">
        <f t="shared" si="109"/>
        <v>0</v>
      </c>
      <c r="F213" s="106">
        <f t="shared" si="109"/>
        <v>5.8106201280000001</v>
      </c>
      <c r="G213" s="106">
        <f t="shared" si="109"/>
        <v>19.081775213099991</v>
      </c>
      <c r="H213" s="106">
        <f t="shared" si="109"/>
        <v>35.836933552199994</v>
      </c>
      <c r="I213" s="106">
        <f t="shared" si="109"/>
        <v>52.657199652599992</v>
      </c>
      <c r="J213" s="106">
        <f t="shared" si="109"/>
        <v>46.515187077300013</v>
      </c>
      <c r="K213" s="106">
        <f t="shared" si="109"/>
        <v>48.695436477300021</v>
      </c>
      <c r="L213" s="106">
        <f t="shared" si="109"/>
        <v>5.8156466160000004</v>
      </c>
      <c r="M213" s="106">
        <f t="shared" si="109"/>
        <v>0</v>
      </c>
    </row>
    <row r="214" spans="1:13" s="113" customFormat="1" ht="16" thickBot="1" x14ac:dyDescent="0.4">
      <c r="A214" s="112" t="s">
        <v>166</v>
      </c>
      <c r="B214" s="111" t="s">
        <v>54</v>
      </c>
      <c r="C214" s="110">
        <f>SUM(D214:M214)</f>
        <v>223.13493706850005</v>
      </c>
      <c r="D214" s="110">
        <f t="shared" ref="D214:M214" si="110">D210-SUM(D211:D213)</f>
        <v>-105</v>
      </c>
      <c r="E214" s="110">
        <f t="shared" si="110"/>
        <v>-185.5</v>
      </c>
      <c r="F214" s="110">
        <f>F210-SUM(F211:F213)</f>
        <v>13.729956952000009</v>
      </c>
      <c r="G214" s="110">
        <f t="shared" si="110"/>
        <v>132.37040991189997</v>
      </c>
      <c r="H214" s="110">
        <f t="shared" si="110"/>
        <v>86.706989357800012</v>
      </c>
      <c r="I214" s="110">
        <f t="shared" si="110"/>
        <v>108.4310728774</v>
      </c>
      <c r="J214" s="110">
        <f t="shared" si="110"/>
        <v>90.914823237700034</v>
      </c>
      <c r="K214" s="110">
        <f t="shared" si="110"/>
        <v>90.484573837700026</v>
      </c>
      <c r="L214" s="110">
        <f t="shared" si="110"/>
        <v>35.997110893999995</v>
      </c>
      <c r="M214" s="110">
        <f t="shared" si="110"/>
        <v>-45</v>
      </c>
    </row>
    <row r="215" spans="1:13" s="111" customFormat="1" ht="13.5" thickBot="1" x14ac:dyDescent="0.35">
      <c r="A215" s="139" t="s">
        <v>167</v>
      </c>
      <c r="B215" s="111" t="s">
        <v>54</v>
      </c>
      <c r="C215" s="106"/>
      <c r="D215" s="123">
        <f>D214</f>
        <v>-105</v>
      </c>
      <c r="E215" s="106">
        <f>D215+E214</f>
        <v>-290.5</v>
      </c>
      <c r="F215" s="106">
        <f t="shared" ref="F215" si="111">E215+F214</f>
        <v>-276.77004304799999</v>
      </c>
      <c r="G215" s="106">
        <f>F215+G214</f>
        <v>-144.39963313610002</v>
      </c>
      <c r="H215" s="106">
        <f t="shared" ref="H215" si="112">G215+H214</f>
        <v>-57.69264377830001</v>
      </c>
      <c r="I215" s="106">
        <f t="shared" ref="I215" si="113">H215+I214</f>
        <v>50.738429099099989</v>
      </c>
      <c r="J215" s="106">
        <f t="shared" ref="J215" si="114">I215+J214</f>
        <v>141.65325233680002</v>
      </c>
      <c r="K215" s="106">
        <f t="shared" ref="K215" si="115">J215+K214</f>
        <v>232.13782617450005</v>
      </c>
      <c r="L215" s="106">
        <f t="shared" ref="L215" si="116">K215+L214</f>
        <v>268.13493706850005</v>
      </c>
      <c r="M215" s="106">
        <f t="shared" ref="M215" si="117">L215+M214</f>
        <v>223.13493706850005</v>
      </c>
    </row>
    <row r="216" spans="1:13" s="95" customFormat="1" x14ac:dyDescent="0.35">
      <c r="A216" s="94"/>
      <c r="C216" s="86"/>
      <c r="D216" s="86"/>
      <c r="E216" s="86"/>
      <c r="F216" s="86"/>
      <c r="G216" s="86"/>
      <c r="H216" s="86"/>
      <c r="I216" s="86"/>
      <c r="J216" s="86"/>
      <c r="K216" s="86"/>
      <c r="L216" s="86"/>
      <c r="M216" s="86"/>
    </row>
    <row r="217" spans="1:13" s="116" customFormat="1" x14ac:dyDescent="0.35">
      <c r="A217" s="85" t="s">
        <v>147</v>
      </c>
      <c r="B217" s="15" t="s">
        <v>36</v>
      </c>
      <c r="C217" s="114">
        <f>IRR(D214:M214,5%)</f>
        <v>0.15777916866350217</v>
      </c>
      <c r="D217" s="115"/>
      <c r="E217" s="115"/>
      <c r="F217" s="115"/>
      <c r="G217" s="115"/>
      <c r="H217" s="115"/>
      <c r="I217" s="115"/>
      <c r="J217" s="115"/>
      <c r="K217" s="115"/>
      <c r="L217" s="115"/>
      <c r="M217" s="115"/>
    </row>
    <row r="218" spans="1:13" x14ac:dyDescent="0.35">
      <c r="A218" s="7"/>
      <c r="C218" s="117"/>
      <c r="D218" s="1"/>
      <c r="E218" s="1"/>
      <c r="F218" s="1"/>
      <c r="G218" s="1"/>
      <c r="H218" s="1"/>
      <c r="I218" s="1"/>
      <c r="J218" s="1"/>
      <c r="K218" s="1"/>
      <c r="L218" s="1"/>
      <c r="M218" s="1"/>
    </row>
    <row r="219" spans="1:13" x14ac:dyDescent="0.35">
      <c r="A219" s="27" t="s">
        <v>17</v>
      </c>
      <c r="D219" s="1"/>
      <c r="E219" s="1"/>
      <c r="F219" s="1"/>
      <c r="G219" s="1"/>
      <c r="H219" s="1"/>
      <c r="I219" s="1"/>
      <c r="J219" s="1"/>
      <c r="K219" s="1"/>
      <c r="L219" s="1"/>
      <c r="M219" s="1"/>
    </row>
    <row r="220" spans="1:13" s="10" customFormat="1" ht="13" x14ac:dyDescent="0.3">
      <c r="A220" s="47" t="s">
        <v>110</v>
      </c>
      <c r="C220" s="12"/>
      <c r="D220" s="12"/>
      <c r="E220" s="12"/>
      <c r="F220" s="12"/>
      <c r="G220" s="12"/>
      <c r="H220" s="12"/>
      <c r="I220" s="12"/>
      <c r="J220" s="12"/>
      <c r="K220" s="12"/>
      <c r="L220" s="12"/>
      <c r="M220" s="12"/>
    </row>
    <row r="221" spans="1:13" s="10" customFormat="1" ht="13" x14ac:dyDescent="0.3">
      <c r="A221" s="47" t="s">
        <v>111</v>
      </c>
      <c r="C221" s="12"/>
      <c r="D221" s="12"/>
      <c r="E221" s="12"/>
      <c r="F221" s="12"/>
      <c r="G221" s="12"/>
      <c r="H221" s="12"/>
      <c r="I221" s="12"/>
      <c r="J221" s="12"/>
      <c r="K221" s="12"/>
      <c r="L221" s="12"/>
      <c r="M221" s="12"/>
    </row>
    <row r="222" spans="1:13" x14ac:dyDescent="0.35">
      <c r="A222" s="118" t="s">
        <v>133</v>
      </c>
      <c r="D222" s="1"/>
      <c r="E222" s="1"/>
      <c r="F222" s="1"/>
      <c r="G222" s="1"/>
      <c r="H222" s="1"/>
      <c r="I222" s="1"/>
      <c r="J222" s="1"/>
      <c r="K222" s="1"/>
      <c r="L222" s="1"/>
      <c r="M222" s="1"/>
    </row>
    <row r="223" spans="1:13" s="10" customFormat="1" ht="13.5" thickBot="1" x14ac:dyDescent="0.35">
      <c r="A223" s="93" t="s">
        <v>2</v>
      </c>
      <c r="B223" s="93" t="s">
        <v>28</v>
      </c>
      <c r="C223" s="83"/>
      <c r="D223" s="82">
        <v>0.08</v>
      </c>
      <c r="E223" s="82">
        <f>D223</f>
        <v>0.08</v>
      </c>
      <c r="F223" s="82">
        <f t="shared" ref="F223:M223" si="118">E223</f>
        <v>0.08</v>
      </c>
      <c r="G223" s="82">
        <f t="shared" si="118"/>
        <v>0.08</v>
      </c>
      <c r="H223" s="82">
        <f t="shared" si="118"/>
        <v>0.08</v>
      </c>
      <c r="I223" s="82">
        <f t="shared" si="118"/>
        <v>0.08</v>
      </c>
      <c r="J223" s="82">
        <f t="shared" si="118"/>
        <v>0.08</v>
      </c>
      <c r="K223" s="82">
        <f t="shared" si="118"/>
        <v>0.08</v>
      </c>
      <c r="L223" s="82">
        <f t="shared" si="118"/>
        <v>0.08</v>
      </c>
      <c r="M223" s="82">
        <f t="shared" si="118"/>
        <v>0.08</v>
      </c>
    </row>
    <row r="224" spans="1:13" s="10" customFormat="1" ht="13.5" thickBot="1" x14ac:dyDescent="0.35">
      <c r="A224" s="10" t="s">
        <v>18</v>
      </c>
      <c r="C224" s="83"/>
      <c r="D224" s="119">
        <f>1/(1+D223)^0.5</f>
        <v>0.96225044864937614</v>
      </c>
      <c r="E224" s="120">
        <f>D224/(1+E223)</f>
        <v>0.89097263763831114</v>
      </c>
      <c r="F224" s="120">
        <f>E224/(1+F223)</f>
        <v>0.82497466447991763</v>
      </c>
      <c r="G224" s="120">
        <f t="shared" ref="G224:M224" si="119">F224/(1+G223)</f>
        <v>0.76386543007399776</v>
      </c>
      <c r="H224" s="120">
        <f t="shared" si="119"/>
        <v>0.70728280562407198</v>
      </c>
      <c r="I224" s="120">
        <f t="shared" si="119"/>
        <v>0.65489148668895547</v>
      </c>
      <c r="J224" s="120">
        <f t="shared" si="119"/>
        <v>0.60638100619347723</v>
      </c>
      <c r="K224" s="120">
        <f t="shared" si="119"/>
        <v>0.56146389462359003</v>
      </c>
      <c r="L224" s="120">
        <f t="shared" si="119"/>
        <v>0.51987397650332412</v>
      </c>
      <c r="M224" s="120">
        <f t="shared" si="119"/>
        <v>0.48136479305863339</v>
      </c>
    </row>
    <row r="225" spans="1:27" s="111" customFormat="1" ht="13.5" thickBot="1" x14ac:dyDescent="0.35">
      <c r="A225" s="121" t="s">
        <v>144</v>
      </c>
      <c r="B225" s="111" t="s">
        <v>54</v>
      </c>
      <c r="C225" s="122">
        <f>SUM(D225:M225)</f>
        <v>81.450663274799808</v>
      </c>
      <c r="D225" s="122">
        <f t="shared" ref="D225:M225" si="120">D214*D224</f>
        <v>-101.0362971081845</v>
      </c>
      <c r="E225" s="122">
        <f t="shared" si="120"/>
        <v>-165.27542428190671</v>
      </c>
      <c r="F225" s="122">
        <f t="shared" si="120"/>
        <v>11.32686662979992</v>
      </c>
      <c r="G225" s="122">
        <f t="shared" si="120"/>
        <v>101.11318009642484</v>
      </c>
      <c r="H225" s="122">
        <f t="shared" si="120"/>
        <v>61.326362700201344</v>
      </c>
      <c r="I225" s="122">
        <f t="shared" si="120"/>
        <v>71.010586519958963</v>
      </c>
      <c r="J225" s="122">
        <f t="shared" si="120"/>
        <v>55.129021992778675</v>
      </c>
      <c r="K225" s="122">
        <f t="shared" si="120"/>
        <v>50.803821230270856</v>
      </c>
      <c r="L225" s="122">
        <f t="shared" si="120"/>
        <v>18.713961183094906</v>
      </c>
      <c r="M225" s="122">
        <f t="shared" si="120"/>
        <v>-21.661415687638502</v>
      </c>
    </row>
    <row r="226" spans="1:27" s="111" customFormat="1" ht="13.5" thickBot="1" x14ac:dyDescent="0.35">
      <c r="A226" s="139" t="s">
        <v>145</v>
      </c>
      <c r="B226" s="111" t="s">
        <v>54</v>
      </c>
      <c r="C226" s="106"/>
      <c r="D226" s="123">
        <f>D225</f>
        <v>-101.0362971081845</v>
      </c>
      <c r="E226" s="106">
        <f>D226+E225</f>
        <v>-266.31172139009118</v>
      </c>
      <c r="F226" s="106">
        <f t="shared" ref="F226:M226" si="121">E226+F225</f>
        <v>-254.98485476029126</v>
      </c>
      <c r="G226" s="106">
        <f>F226+G225</f>
        <v>-153.87167466386643</v>
      </c>
      <c r="H226" s="106">
        <f t="shared" si="121"/>
        <v>-92.545311963665085</v>
      </c>
      <c r="I226" s="106">
        <f t="shared" si="121"/>
        <v>-21.534725443706122</v>
      </c>
      <c r="J226" s="106">
        <f t="shared" si="121"/>
        <v>33.594296549072553</v>
      </c>
      <c r="K226" s="106">
        <f t="shared" si="121"/>
        <v>84.398117779343409</v>
      </c>
      <c r="L226" s="106">
        <f t="shared" si="121"/>
        <v>103.11207896243832</v>
      </c>
      <c r="M226" s="106">
        <f t="shared" si="121"/>
        <v>81.450663274799808</v>
      </c>
    </row>
    <row r="227" spans="1:27" s="113" customFormat="1" ht="23.5" x14ac:dyDescent="0.55000000000000004">
      <c r="A227" s="112" t="s">
        <v>146</v>
      </c>
      <c r="B227" s="111" t="s">
        <v>54</v>
      </c>
      <c r="C227" s="124">
        <f>SUM(D225:M225)</f>
        <v>81.450663274799808</v>
      </c>
      <c r="D227" s="110"/>
      <c r="E227" s="110"/>
      <c r="F227" s="110"/>
      <c r="G227" s="110"/>
      <c r="H227" s="110"/>
      <c r="I227" s="110"/>
      <c r="J227" s="110"/>
      <c r="K227" s="110"/>
      <c r="L227" s="110"/>
      <c r="M227" s="110"/>
    </row>
    <row r="228" spans="1:27" ht="135.75" customHeight="1" x14ac:dyDescent="0.35"/>
    <row r="229" spans="1:27" ht="45" customHeight="1" x14ac:dyDescent="0.35">
      <c r="A229" s="22" t="s">
        <v>21</v>
      </c>
    </row>
    <row r="230" spans="1:27" s="64" customFormat="1" ht="21.65" customHeight="1" x14ac:dyDescent="0.35">
      <c r="A230" s="64" t="str">
        <f>'preliminary business case'!A$76</f>
        <v>Years --&gt;</v>
      </c>
      <c r="B230" s="19" t="str">
        <f>'preliminary business case'!B$76</f>
        <v>units</v>
      </c>
      <c r="C230" s="65" t="str">
        <f>'preliminary business case'!C$76</f>
        <v>Total</v>
      </c>
      <c r="D230" s="62">
        <f>'preliminary business case'!D$76</f>
        <v>2027</v>
      </c>
      <c r="E230" s="62">
        <f>'preliminary business case'!E$76</f>
        <v>2028</v>
      </c>
      <c r="F230" s="62">
        <f>'preliminary business case'!F$76</f>
        <v>2029</v>
      </c>
      <c r="G230" s="62">
        <f>'preliminary business case'!G$76</f>
        <v>2030</v>
      </c>
      <c r="H230" s="62">
        <f>'preliminary business case'!H$76</f>
        <v>2031</v>
      </c>
      <c r="I230" s="62">
        <f>'preliminary business case'!I$76</f>
        <v>2032</v>
      </c>
      <c r="J230" s="62">
        <f>'preliminary business case'!J$76</f>
        <v>2033</v>
      </c>
      <c r="K230" s="62">
        <f>'preliminary business case'!K$76</f>
        <v>2034</v>
      </c>
      <c r="L230" s="62">
        <f>'preliminary business case'!L$76</f>
        <v>2035</v>
      </c>
      <c r="M230" s="62">
        <f>'preliminary business case'!M$76</f>
        <v>2036</v>
      </c>
      <c r="N230" s="19"/>
      <c r="O230" s="19"/>
      <c r="P230" s="19"/>
      <c r="Q230" s="19"/>
      <c r="R230" s="19"/>
      <c r="S230" s="19"/>
      <c r="T230" s="19"/>
      <c r="U230" s="19"/>
      <c r="V230" s="19"/>
      <c r="W230" s="19"/>
      <c r="X230" s="19"/>
      <c r="Y230" s="19"/>
      <c r="Z230" s="19"/>
      <c r="AA230" s="19"/>
    </row>
    <row r="231" spans="1:27" s="10" customFormat="1" ht="13" x14ac:dyDescent="0.3">
      <c r="A231" s="63" t="str">
        <f>A90</f>
        <v>Cashstream 1: Revenue</v>
      </c>
      <c r="C231" s="12"/>
      <c r="D231" s="66">
        <f t="shared" ref="D231:M231" si="122">D90</f>
        <v>0</v>
      </c>
      <c r="E231" s="66">
        <f t="shared" si="122"/>
        <v>0</v>
      </c>
      <c r="F231" s="66">
        <f t="shared" si="122"/>
        <v>96.843668800000003</v>
      </c>
      <c r="G231" s="66">
        <f t="shared" si="122"/>
        <v>279.59839499999998</v>
      </c>
      <c r="H231" s="66">
        <f t="shared" si="122"/>
        <v>246.04658760000001</v>
      </c>
      <c r="I231" s="66">
        <f t="shared" si="122"/>
        <v>290.78233080000001</v>
      </c>
      <c r="J231" s="66">
        <f t="shared" si="122"/>
        <v>257.23052340000004</v>
      </c>
      <c r="K231" s="66">
        <f t="shared" si="122"/>
        <v>257.23052340000004</v>
      </c>
      <c r="L231" s="66">
        <f t="shared" si="122"/>
        <v>96.927443600000004</v>
      </c>
      <c r="M231" s="66">
        <f t="shared" si="122"/>
        <v>0</v>
      </c>
    </row>
    <row r="232" spans="1:27" s="10" customFormat="1" ht="13" x14ac:dyDescent="0.3">
      <c r="A232" s="63" t="str">
        <f>A103</f>
        <v>Cashstream 2: Capital Costs</v>
      </c>
      <c r="C232" s="12"/>
      <c r="D232" s="66">
        <f t="shared" ref="D232:M232" si="123">-D103</f>
        <v>-105</v>
      </c>
      <c r="E232" s="66">
        <f t="shared" si="123"/>
        <v>-175</v>
      </c>
      <c r="F232" s="66">
        <f t="shared" si="123"/>
        <v>-14</v>
      </c>
      <c r="G232" s="66">
        <f t="shared" si="123"/>
        <v>-14</v>
      </c>
      <c r="H232" s="66">
        <f t="shared" si="123"/>
        <v>-14</v>
      </c>
      <c r="I232" s="66">
        <f t="shared" si="123"/>
        <v>-14</v>
      </c>
      <c r="J232" s="66">
        <f t="shared" si="123"/>
        <v>-14</v>
      </c>
      <c r="K232" s="66">
        <f t="shared" si="123"/>
        <v>-14</v>
      </c>
      <c r="L232" s="66">
        <f t="shared" si="123"/>
        <v>-14</v>
      </c>
      <c r="M232" s="66">
        <f t="shared" si="123"/>
        <v>0</v>
      </c>
    </row>
    <row r="233" spans="1:27" s="10" customFormat="1" ht="13" x14ac:dyDescent="0.3">
      <c r="A233" s="63" t="str">
        <f>A147</f>
        <v>Cashstream 3: Operating Costs</v>
      </c>
      <c r="C233" s="66">
        <f>SUM(D233:M233)</f>
        <v>-709.11173681500009</v>
      </c>
      <c r="D233" s="66">
        <f t="shared" ref="D233:M233" si="124">-D147</f>
        <v>0</v>
      </c>
      <c r="E233" s="66">
        <f t="shared" si="124"/>
        <v>-10.5</v>
      </c>
      <c r="F233" s="66">
        <f t="shared" si="124"/>
        <v>-63.303091719999991</v>
      </c>
      <c r="G233" s="66">
        <f t="shared" si="124"/>
        <v>-114.146209875</v>
      </c>
      <c r="H233" s="66">
        <f t="shared" si="124"/>
        <v>-109.50266469</v>
      </c>
      <c r="I233" s="66">
        <f t="shared" si="124"/>
        <v>-115.69405827000001</v>
      </c>
      <c r="J233" s="66">
        <f t="shared" si="124"/>
        <v>-105.80051308499999</v>
      </c>
      <c r="K233" s="66">
        <f t="shared" si="124"/>
        <v>-104.05051308499999</v>
      </c>
      <c r="L233" s="66">
        <f t="shared" si="124"/>
        <v>-41.114686090000006</v>
      </c>
      <c r="M233" s="66">
        <f t="shared" si="124"/>
        <v>-45</v>
      </c>
    </row>
    <row r="234" spans="1:27" s="10" customFormat="1" ht="13" x14ac:dyDescent="0.3">
      <c r="A234" s="63" t="str">
        <f>A206</f>
        <v>Cashstream 4: Taxes</v>
      </c>
      <c r="C234" s="12"/>
      <c r="D234" s="66">
        <f t="shared" ref="D234:M234" si="125">-D206</f>
        <v>0</v>
      </c>
      <c r="E234" s="66">
        <f t="shared" si="125"/>
        <v>0</v>
      </c>
      <c r="F234" s="66">
        <f t="shared" si="125"/>
        <v>-5.8106201280000001</v>
      </c>
      <c r="G234" s="66">
        <f t="shared" si="125"/>
        <v>-19.081775213099991</v>
      </c>
      <c r="H234" s="66">
        <f t="shared" si="125"/>
        <v>-35.836933552199994</v>
      </c>
      <c r="I234" s="66">
        <f t="shared" si="125"/>
        <v>-52.657199652599992</v>
      </c>
      <c r="J234" s="66">
        <f t="shared" si="125"/>
        <v>-46.515187077300013</v>
      </c>
      <c r="K234" s="66">
        <f t="shared" si="125"/>
        <v>-48.695436477300021</v>
      </c>
      <c r="L234" s="66">
        <f t="shared" si="125"/>
        <v>-5.8156466160000004</v>
      </c>
      <c r="M234" s="66">
        <f t="shared" si="125"/>
        <v>0</v>
      </c>
    </row>
    <row r="235" spans="1:27" s="10" customFormat="1" ht="13" x14ac:dyDescent="0.3">
      <c r="A235" s="10" t="s">
        <v>22</v>
      </c>
      <c r="C235" s="12"/>
      <c r="D235" s="66">
        <f>IF(SUM(D231:D234)&gt;0,SUM(D231:D234),0)</f>
        <v>0</v>
      </c>
      <c r="E235" s="66">
        <f t="shared" ref="E235:M235" si="126">IF(SUM(E231:E234)&gt;0,SUM(E231:E234),0)</f>
        <v>0</v>
      </c>
      <c r="F235" s="66">
        <f t="shared" si="126"/>
        <v>13.729956952000013</v>
      </c>
      <c r="G235" s="66">
        <f t="shared" si="126"/>
        <v>132.37040991189997</v>
      </c>
      <c r="H235" s="66">
        <f t="shared" si="126"/>
        <v>86.706989357800012</v>
      </c>
      <c r="I235" s="66">
        <f t="shared" si="126"/>
        <v>108.4310728774</v>
      </c>
      <c r="J235" s="66">
        <f t="shared" si="126"/>
        <v>90.914823237700048</v>
      </c>
      <c r="K235" s="66">
        <f t="shared" si="126"/>
        <v>90.48457383770004</v>
      </c>
      <c r="L235" s="66">
        <f t="shared" si="126"/>
        <v>35.997110893999995</v>
      </c>
      <c r="M235" s="66">
        <f t="shared" si="126"/>
        <v>0</v>
      </c>
    </row>
    <row r="236" spans="1:27" s="10" customFormat="1" ht="13" x14ac:dyDescent="0.3">
      <c r="A236" s="10" t="s">
        <v>138</v>
      </c>
      <c r="C236" s="12"/>
      <c r="D236" s="66">
        <f>IF(SUM(D231:D234)&lt;0,-SUM(D231:D234),0)</f>
        <v>105</v>
      </c>
      <c r="E236" s="66">
        <f t="shared" ref="E236:M236" si="127">IF(SUM(E231:E234)&lt;0,-SUM(E231:E234),0)</f>
        <v>185.5</v>
      </c>
      <c r="F236" s="66">
        <f t="shared" si="127"/>
        <v>0</v>
      </c>
      <c r="G236" s="66">
        <f t="shared" si="127"/>
        <v>0</v>
      </c>
      <c r="H236" s="66">
        <f t="shared" si="127"/>
        <v>0</v>
      </c>
      <c r="I236" s="66">
        <f t="shared" si="127"/>
        <v>0</v>
      </c>
      <c r="J236" s="66">
        <f t="shared" si="127"/>
        <v>0</v>
      </c>
      <c r="K236" s="66">
        <f t="shared" si="127"/>
        <v>0</v>
      </c>
      <c r="L236" s="66">
        <f t="shared" si="127"/>
        <v>0</v>
      </c>
      <c r="M236" s="66">
        <f t="shared" si="127"/>
        <v>45</v>
      </c>
    </row>
    <row r="237" spans="1:27" s="10" customFormat="1" ht="13" x14ac:dyDescent="0.3">
      <c r="A237" s="10" t="s">
        <v>23</v>
      </c>
      <c r="C237" s="12"/>
      <c r="D237" s="66">
        <f>D235-D236</f>
        <v>-105</v>
      </c>
      <c r="E237" s="66">
        <f t="shared" ref="E237:M237" si="128">E235-E236</f>
        <v>-185.5</v>
      </c>
      <c r="F237" s="66">
        <f t="shared" si="128"/>
        <v>13.729956952000013</v>
      </c>
      <c r="G237" s="66">
        <f t="shared" si="128"/>
        <v>132.37040991189997</v>
      </c>
      <c r="H237" s="66">
        <f t="shared" si="128"/>
        <v>86.706989357800012</v>
      </c>
      <c r="I237" s="66">
        <f t="shared" si="128"/>
        <v>108.4310728774</v>
      </c>
      <c r="J237" s="66">
        <f t="shared" si="128"/>
        <v>90.914823237700048</v>
      </c>
      <c r="K237" s="66">
        <f t="shared" si="128"/>
        <v>90.48457383770004</v>
      </c>
      <c r="L237" s="66">
        <f t="shared" si="128"/>
        <v>35.997110893999995</v>
      </c>
      <c r="M237" s="66">
        <f t="shared" si="128"/>
        <v>-45</v>
      </c>
    </row>
    <row r="238" spans="1:27" x14ac:dyDescent="0.35">
      <c r="A238" s="28"/>
      <c r="B238" s="28"/>
      <c r="C238" s="29"/>
      <c r="D238" s="30"/>
      <c r="E238" s="30"/>
      <c r="F238" s="30"/>
      <c r="G238" s="29"/>
      <c r="H238" s="29"/>
      <c r="I238" s="29"/>
      <c r="J238" s="29"/>
      <c r="K238" s="29"/>
      <c r="L238" s="29"/>
      <c r="M238" s="29"/>
    </row>
    <row r="281" spans="1:4" x14ac:dyDescent="0.35">
      <c r="A281" s="27" t="s">
        <v>10</v>
      </c>
    </row>
    <row r="282" spans="1:4" x14ac:dyDescent="0.35">
      <c r="A282" s="6" t="s">
        <v>11</v>
      </c>
    </row>
    <row r="283" spans="1:4" x14ac:dyDescent="0.35">
      <c r="A283" s="31" t="s">
        <v>4</v>
      </c>
      <c r="B283" s="32" t="s">
        <v>27</v>
      </c>
      <c r="C283" s="2">
        <v>0.36</v>
      </c>
      <c r="D283" s="2">
        <v>0.36</v>
      </c>
    </row>
  </sheetData>
  <pageMargins left="0.70866141732283472" right="0.70866141732283472" top="0.74803149606299213" bottom="0.74803149606299213" header="0.31496062992125984" footer="0.31496062992125984"/>
  <pageSetup paperSize="9" scale="2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 &amp; Audits</vt:lpstr>
      <vt:lpstr>preliminary business case</vt:lpstr>
      <vt:lpstr>'Intro &amp; Audits'!Print_Area</vt:lpstr>
      <vt:lpstr>'preliminary business case'!Print_Area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mpcard</dc:creator>
  <cp:lastModifiedBy>Peter and Margie Card</cp:lastModifiedBy>
  <cp:lastPrinted>2011-08-03T11:26:27Z</cp:lastPrinted>
  <dcterms:created xsi:type="dcterms:W3CDTF">2009-07-21T00:07:29Z</dcterms:created>
  <dcterms:modified xsi:type="dcterms:W3CDTF">2023-09-10T06:19:58Z</dcterms:modified>
</cp:coreProperties>
</file>