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peter\Documents\9. PBC Eco Eval\2023 revamp of working examples\"/>
    </mc:Choice>
  </mc:AlternateContent>
  <xr:revisionPtr revIDLastSave="0" documentId="13_ncr:1_{A95EA7EC-04D6-45BC-8F51-B8D945FC5CD7}" xr6:coauthVersionLast="47" xr6:coauthVersionMax="47" xr10:uidLastSave="{00000000-0000-0000-0000-000000000000}"/>
  <bookViews>
    <workbookView xWindow="-110" yWindow="-110" windowWidth="19420" windowHeight="11500" tabRatio="798" xr2:uid="{00000000-000D-0000-FFFF-FFFF00000000}"/>
  </bookViews>
  <sheets>
    <sheet name="Introduction" sheetId="7" r:id="rId1"/>
    <sheet name="start up campsite" sheetId="6" r:id="rId2"/>
  </sheets>
  <definedNames>
    <definedName name="_xlnm.Print_Area" localSheetId="0">Introduction!$A$1:$S$33</definedName>
    <definedName name="_xlnm.Print_Area" localSheetId="1">'start up campsite'!$A$1:$M$204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 l="1"/>
  <c r="M26" i="7"/>
  <c r="L26" i="7"/>
  <c r="K26" i="7"/>
  <c r="J26" i="7"/>
  <c r="I26" i="7"/>
  <c r="H26" i="7"/>
  <c r="G26" i="7"/>
  <c r="F26" i="7"/>
  <c r="E26" i="7"/>
  <c r="D26" i="7"/>
  <c r="A26" i="7"/>
  <c r="B5" i="6"/>
  <c r="A5" i="6"/>
  <c r="A4" i="6" l="1"/>
  <c r="B11" i="6"/>
  <c r="A11" i="6"/>
  <c r="J109" i="6"/>
  <c r="J108" i="6"/>
  <c r="E61" i="6"/>
  <c r="E63" i="6" s="1"/>
  <c r="E119" i="6" s="1"/>
  <c r="F61" i="6"/>
  <c r="G61" i="6"/>
  <c r="G63" i="6" s="1"/>
  <c r="G119" i="6" s="1"/>
  <c r="H61" i="6"/>
  <c r="H63" i="6" s="1"/>
  <c r="H119" i="6" s="1"/>
  <c r="I61" i="6"/>
  <c r="I63" i="6" s="1"/>
  <c r="I119" i="6" s="1"/>
  <c r="J61" i="6"/>
  <c r="J63" i="6" s="1"/>
  <c r="K61" i="6"/>
  <c r="L61" i="6"/>
  <c r="M61" i="6"/>
  <c r="N61" i="6"/>
  <c r="O61" i="6"/>
  <c r="O63" i="6" s="1"/>
  <c r="O119" i="6" s="1"/>
  <c r="P61" i="6"/>
  <c r="P63" i="6" s="1"/>
  <c r="P119" i="6" s="1"/>
  <c r="Q61" i="6"/>
  <c r="Q63" i="6" s="1"/>
  <c r="Q119" i="6" s="1"/>
  <c r="R61" i="6"/>
  <c r="R63" i="6" s="1"/>
  <c r="S61" i="6"/>
  <c r="T61" i="6"/>
  <c r="U61" i="6"/>
  <c r="V61" i="6"/>
  <c r="W61" i="6"/>
  <c r="X61" i="6"/>
  <c r="Y61" i="6"/>
  <c r="Z61" i="6"/>
  <c r="AA61" i="6"/>
  <c r="AA63" i="6" s="1"/>
  <c r="AA119" i="6" s="1"/>
  <c r="AB61" i="6"/>
  <c r="AB63" i="6" s="1"/>
  <c r="AB119" i="6" s="1"/>
  <c r="AC61" i="6"/>
  <c r="AC63" i="6" s="1"/>
  <c r="AC119" i="6" s="1"/>
  <c r="AD61" i="6"/>
  <c r="AD63" i="6" s="1"/>
  <c r="AE61" i="6"/>
  <c r="AF61" i="6"/>
  <c r="AG61" i="6"/>
  <c r="AH61" i="6"/>
  <c r="AI61" i="6"/>
  <c r="AJ61" i="6"/>
  <c r="AK61" i="6"/>
  <c r="AL61" i="6"/>
  <c r="AM61" i="6"/>
  <c r="D61" i="6"/>
  <c r="B61" i="6"/>
  <c r="AM161" i="6"/>
  <c r="AL161" i="6"/>
  <c r="AK161" i="6"/>
  <c r="AJ161" i="6"/>
  <c r="AI161" i="6"/>
  <c r="AH161" i="6"/>
  <c r="AG161" i="6"/>
  <c r="AF161" i="6"/>
  <c r="AE161" i="6"/>
  <c r="AD161" i="6"/>
  <c r="AC161" i="6"/>
  <c r="AB161" i="6"/>
  <c r="AA161" i="6"/>
  <c r="Z161" i="6"/>
  <c r="Y161" i="6"/>
  <c r="X161" i="6"/>
  <c r="W161" i="6"/>
  <c r="V161" i="6"/>
  <c r="U161" i="6"/>
  <c r="T161" i="6"/>
  <c r="S161" i="6"/>
  <c r="R161" i="6"/>
  <c r="Q161" i="6"/>
  <c r="P161" i="6"/>
  <c r="O161" i="6"/>
  <c r="N161" i="6"/>
  <c r="M161" i="6"/>
  <c r="L161" i="6"/>
  <c r="K161" i="6"/>
  <c r="J161" i="6"/>
  <c r="I161" i="6"/>
  <c r="H161" i="6"/>
  <c r="G161" i="6"/>
  <c r="F161" i="6"/>
  <c r="E161" i="6"/>
  <c r="D161" i="6"/>
  <c r="C161" i="6"/>
  <c r="B161" i="6"/>
  <c r="A161" i="6"/>
  <c r="AM162" i="6"/>
  <c r="AL162" i="6"/>
  <c r="AK162" i="6"/>
  <c r="AJ162" i="6"/>
  <c r="AI162" i="6"/>
  <c r="AH162" i="6"/>
  <c r="AG162" i="6"/>
  <c r="AF162" i="6"/>
  <c r="AE162" i="6"/>
  <c r="AD162" i="6"/>
  <c r="AC162" i="6"/>
  <c r="AB162" i="6"/>
  <c r="AA162" i="6"/>
  <c r="Z162" i="6"/>
  <c r="Y162" i="6"/>
  <c r="X162" i="6"/>
  <c r="W162" i="6"/>
  <c r="V162" i="6"/>
  <c r="U162" i="6"/>
  <c r="T162" i="6"/>
  <c r="S162" i="6"/>
  <c r="R162" i="6"/>
  <c r="Q162" i="6"/>
  <c r="P162" i="6"/>
  <c r="O162" i="6"/>
  <c r="N162" i="6"/>
  <c r="M162" i="6"/>
  <c r="L162" i="6"/>
  <c r="K162" i="6"/>
  <c r="J162" i="6"/>
  <c r="I162" i="6"/>
  <c r="H162" i="6"/>
  <c r="G162" i="6"/>
  <c r="F162" i="6"/>
  <c r="E162" i="6"/>
  <c r="D162" i="6"/>
  <c r="B162" i="6"/>
  <c r="A162" i="6"/>
  <c r="AM99" i="6"/>
  <c r="AL99" i="6"/>
  <c r="AK99" i="6"/>
  <c r="AJ99" i="6"/>
  <c r="AI99" i="6"/>
  <c r="AH99" i="6"/>
  <c r="AG99" i="6"/>
  <c r="AF99" i="6"/>
  <c r="AE99" i="6"/>
  <c r="AD99" i="6"/>
  <c r="AC99" i="6"/>
  <c r="AB99" i="6"/>
  <c r="AA99" i="6"/>
  <c r="Z99" i="6"/>
  <c r="Y99" i="6"/>
  <c r="X99" i="6"/>
  <c r="W99" i="6"/>
  <c r="V99" i="6"/>
  <c r="U99" i="6"/>
  <c r="T99" i="6"/>
  <c r="S99" i="6"/>
  <c r="R99" i="6"/>
  <c r="Q99" i="6"/>
  <c r="P99" i="6"/>
  <c r="O99" i="6"/>
  <c r="N99" i="6"/>
  <c r="M99" i="6"/>
  <c r="L99" i="6"/>
  <c r="K99" i="6"/>
  <c r="J99" i="6"/>
  <c r="I99" i="6"/>
  <c r="H99" i="6"/>
  <c r="G99" i="6"/>
  <c r="F99" i="6"/>
  <c r="E99" i="6"/>
  <c r="D99" i="6"/>
  <c r="B99" i="6"/>
  <c r="A99" i="6"/>
  <c r="B151" i="6"/>
  <c r="A90" i="6"/>
  <c r="AM182" i="6"/>
  <c r="AL182" i="6"/>
  <c r="AK182" i="6"/>
  <c r="AJ182" i="6"/>
  <c r="AI182" i="6"/>
  <c r="AH182" i="6"/>
  <c r="AG182" i="6"/>
  <c r="AF182" i="6"/>
  <c r="AE182" i="6"/>
  <c r="AD182" i="6"/>
  <c r="AC182" i="6"/>
  <c r="AB182" i="6"/>
  <c r="AA182" i="6"/>
  <c r="Z182" i="6"/>
  <c r="Y182" i="6"/>
  <c r="X182" i="6"/>
  <c r="W182" i="6"/>
  <c r="V182" i="6"/>
  <c r="U182" i="6"/>
  <c r="T182" i="6"/>
  <c r="S182" i="6"/>
  <c r="R182" i="6"/>
  <c r="Q182" i="6"/>
  <c r="P182" i="6"/>
  <c r="O182" i="6"/>
  <c r="N182" i="6"/>
  <c r="M182" i="6"/>
  <c r="L182" i="6"/>
  <c r="K182" i="6"/>
  <c r="J182" i="6"/>
  <c r="I182" i="6"/>
  <c r="H182" i="6"/>
  <c r="G182" i="6"/>
  <c r="F182" i="6"/>
  <c r="E182" i="6"/>
  <c r="D182" i="6"/>
  <c r="C182" i="6"/>
  <c r="B182" i="6"/>
  <c r="A182" i="6"/>
  <c r="AM122" i="6"/>
  <c r="AL122" i="6"/>
  <c r="AK122" i="6"/>
  <c r="AJ122" i="6"/>
  <c r="AI122" i="6"/>
  <c r="AH122" i="6"/>
  <c r="AG122" i="6"/>
  <c r="AF122" i="6"/>
  <c r="AE122" i="6"/>
  <c r="AD122" i="6"/>
  <c r="AC122" i="6"/>
  <c r="AB122" i="6"/>
  <c r="AA122" i="6"/>
  <c r="Z122" i="6"/>
  <c r="Y122" i="6"/>
  <c r="X122" i="6"/>
  <c r="W122" i="6"/>
  <c r="V122" i="6"/>
  <c r="U122" i="6"/>
  <c r="T122" i="6"/>
  <c r="S122" i="6"/>
  <c r="R122" i="6"/>
  <c r="Q122" i="6"/>
  <c r="P122" i="6"/>
  <c r="O122" i="6"/>
  <c r="N122" i="6"/>
  <c r="M122" i="6"/>
  <c r="L122" i="6"/>
  <c r="K122" i="6"/>
  <c r="J122" i="6"/>
  <c r="I122" i="6"/>
  <c r="H122" i="6"/>
  <c r="G122" i="6"/>
  <c r="F122" i="6"/>
  <c r="E122" i="6"/>
  <c r="D122" i="6"/>
  <c r="C122" i="6"/>
  <c r="B122" i="6"/>
  <c r="A122" i="6"/>
  <c r="AM97" i="6"/>
  <c r="AL97" i="6"/>
  <c r="AK97" i="6"/>
  <c r="AJ97" i="6"/>
  <c r="AI97" i="6"/>
  <c r="AH97" i="6"/>
  <c r="AG97" i="6"/>
  <c r="AF97" i="6"/>
  <c r="AE97" i="6"/>
  <c r="AD97" i="6"/>
  <c r="AC97" i="6"/>
  <c r="AB97" i="6"/>
  <c r="AA97" i="6"/>
  <c r="Z97" i="6"/>
  <c r="Y97" i="6"/>
  <c r="X97" i="6"/>
  <c r="W97" i="6"/>
  <c r="V97" i="6"/>
  <c r="U97" i="6"/>
  <c r="T97" i="6"/>
  <c r="S97" i="6"/>
  <c r="R97" i="6"/>
  <c r="Q97" i="6"/>
  <c r="P97" i="6"/>
  <c r="O97" i="6"/>
  <c r="N97" i="6"/>
  <c r="M97" i="6"/>
  <c r="L97" i="6"/>
  <c r="K97" i="6"/>
  <c r="J97" i="6"/>
  <c r="I97" i="6"/>
  <c r="H97" i="6"/>
  <c r="G97" i="6"/>
  <c r="F97" i="6"/>
  <c r="E97" i="6"/>
  <c r="D97" i="6"/>
  <c r="C97" i="6"/>
  <c r="B97" i="6"/>
  <c r="A97" i="6"/>
  <c r="E90" i="6"/>
  <c r="F90" i="6"/>
  <c r="G90" i="6"/>
  <c r="H90" i="6"/>
  <c r="I90" i="6"/>
  <c r="J90" i="6"/>
  <c r="D90" i="6"/>
  <c r="E86" i="6"/>
  <c r="E151" i="6" s="1"/>
  <c r="F86" i="6"/>
  <c r="F151" i="6" s="1"/>
  <c r="G86" i="6"/>
  <c r="G151" i="6" s="1"/>
  <c r="H86" i="6"/>
  <c r="H151" i="6" s="1"/>
  <c r="I86" i="6"/>
  <c r="I151" i="6" s="1"/>
  <c r="J86" i="6"/>
  <c r="J151" i="6" s="1"/>
  <c r="K86" i="6"/>
  <c r="K151" i="6" s="1"/>
  <c r="L86" i="6"/>
  <c r="L151" i="6" s="1"/>
  <c r="M86" i="6"/>
  <c r="M151" i="6" s="1"/>
  <c r="N86" i="6"/>
  <c r="N151" i="6" s="1"/>
  <c r="O86" i="6"/>
  <c r="O151" i="6" s="1"/>
  <c r="P86" i="6"/>
  <c r="P151" i="6" s="1"/>
  <c r="Q86" i="6"/>
  <c r="Q151" i="6" s="1"/>
  <c r="R86" i="6"/>
  <c r="R151" i="6" s="1"/>
  <c r="S86" i="6"/>
  <c r="S151" i="6" s="1"/>
  <c r="T86" i="6"/>
  <c r="T151" i="6" s="1"/>
  <c r="U86" i="6"/>
  <c r="U151" i="6" s="1"/>
  <c r="V86" i="6"/>
  <c r="V151" i="6" s="1"/>
  <c r="W86" i="6"/>
  <c r="W151" i="6" s="1"/>
  <c r="X86" i="6"/>
  <c r="X151" i="6" s="1"/>
  <c r="Y86" i="6"/>
  <c r="Y151" i="6" s="1"/>
  <c r="Z86" i="6"/>
  <c r="Z151" i="6" s="1"/>
  <c r="AA86" i="6"/>
  <c r="AA151" i="6" s="1"/>
  <c r="AB86" i="6"/>
  <c r="AB151" i="6" s="1"/>
  <c r="AC86" i="6"/>
  <c r="AC151" i="6" s="1"/>
  <c r="AD86" i="6"/>
  <c r="AD151" i="6" s="1"/>
  <c r="AE86" i="6"/>
  <c r="AE151" i="6" s="1"/>
  <c r="AF86" i="6"/>
  <c r="AF151" i="6" s="1"/>
  <c r="AG86" i="6"/>
  <c r="AG151" i="6" s="1"/>
  <c r="AH86" i="6"/>
  <c r="AH151" i="6" s="1"/>
  <c r="AI86" i="6"/>
  <c r="AI151" i="6" s="1"/>
  <c r="AJ86" i="6"/>
  <c r="AJ151" i="6" s="1"/>
  <c r="AK86" i="6"/>
  <c r="AK151" i="6" s="1"/>
  <c r="AL86" i="6"/>
  <c r="AL151" i="6" s="1"/>
  <c r="AM86" i="6"/>
  <c r="AM151" i="6" s="1"/>
  <c r="D86" i="6"/>
  <c r="D151" i="6" s="1"/>
  <c r="A86" i="6"/>
  <c r="A151" i="6" s="1"/>
  <c r="D63" i="6" l="1"/>
  <c r="D119" i="6" s="1"/>
  <c r="C61" i="6"/>
  <c r="F63" i="6"/>
  <c r="F119" i="6" s="1"/>
  <c r="C162" i="6"/>
  <c r="C86" i="6"/>
  <c r="AE62" i="6"/>
  <c r="AF62" i="6" s="1"/>
  <c r="AG62" i="6" s="1"/>
  <c r="AH62" i="6" s="1"/>
  <c r="S62" i="6"/>
  <c r="T62" i="6" s="1"/>
  <c r="T63" i="6" s="1"/>
  <c r="K62" i="6"/>
  <c r="K63" i="6" s="1"/>
  <c r="J107" i="6"/>
  <c r="K108" i="6"/>
  <c r="L108" i="6" s="1"/>
  <c r="M108" i="6" s="1"/>
  <c r="N108" i="6" s="1"/>
  <c r="R108" i="6" s="1"/>
  <c r="S108" i="6" s="1"/>
  <c r="T108" i="6" s="1"/>
  <c r="U108" i="6" s="1"/>
  <c r="V108" i="6" s="1"/>
  <c r="W108" i="6" s="1"/>
  <c r="X108" i="6" s="1"/>
  <c r="Y108" i="6" s="1"/>
  <c r="Z108" i="6" s="1"/>
  <c r="AD108" i="6" s="1"/>
  <c r="AE108" i="6" s="1"/>
  <c r="AF108" i="6" s="1"/>
  <c r="AG108" i="6" s="1"/>
  <c r="AH108" i="6" s="1"/>
  <c r="AI108" i="6" s="1"/>
  <c r="AJ108" i="6" s="1"/>
  <c r="AK108" i="6" s="1"/>
  <c r="AL108" i="6" s="1"/>
  <c r="AM108" i="6" s="1"/>
  <c r="J103" i="6"/>
  <c r="AD103" i="6"/>
  <c r="R103" i="6"/>
  <c r="AG63" i="6" l="1"/>
  <c r="AF63" i="6"/>
  <c r="S63" i="6"/>
  <c r="AI62" i="6"/>
  <c r="AH63" i="6"/>
  <c r="AE63" i="6"/>
  <c r="U62" i="6"/>
  <c r="U63" i="6" s="1"/>
  <c r="L62" i="6"/>
  <c r="L63" i="6" s="1"/>
  <c r="AJ62" i="6" l="1"/>
  <c r="AI63" i="6"/>
  <c r="V62" i="6"/>
  <c r="V63" i="6" s="1"/>
  <c r="M62" i="6"/>
  <c r="M63" i="6" s="1"/>
  <c r="AK62" i="6" l="1"/>
  <c r="AJ63" i="6"/>
  <c r="N62" i="6"/>
  <c r="N63" i="6" s="1"/>
  <c r="W62" i="6"/>
  <c r="W63" i="6" s="1"/>
  <c r="AL62" i="6" l="1"/>
  <c r="AK63" i="6"/>
  <c r="X62" i="6"/>
  <c r="X63" i="6" s="1"/>
  <c r="AM62" i="6" l="1"/>
  <c r="AM63" i="6" s="1"/>
  <c r="AL63" i="6"/>
  <c r="Y62" i="6"/>
  <c r="Y63" i="6" s="1"/>
  <c r="AM119" i="6" l="1"/>
  <c r="Z62" i="6"/>
  <c r="Z63" i="6" s="1"/>
  <c r="C64" i="6" s="1"/>
  <c r="C4" i="6" s="1"/>
  <c r="A13" i="6" l="1"/>
  <c r="B14" i="6"/>
  <c r="A14" i="6"/>
  <c r="A1" i="6"/>
  <c r="A20" i="7"/>
  <c r="A31" i="7" s="1"/>
  <c r="Z66" i="6"/>
  <c r="AA66" i="6"/>
  <c r="AB66" i="6"/>
  <c r="AC66" i="6"/>
  <c r="AD66" i="6"/>
  <c r="AE66" i="6"/>
  <c r="AF66" i="6"/>
  <c r="AG66" i="6"/>
  <c r="AH66" i="6"/>
  <c r="AI66" i="6"/>
  <c r="AJ66" i="6"/>
  <c r="AK66" i="6"/>
  <c r="AL66" i="6"/>
  <c r="AM66" i="6"/>
  <c r="Z71" i="6"/>
  <c r="AA71" i="6"/>
  <c r="AB71" i="6"/>
  <c r="AC71" i="6"/>
  <c r="AD71" i="6"/>
  <c r="AE71" i="6"/>
  <c r="AF71" i="6"/>
  <c r="AG71" i="6"/>
  <c r="AH71" i="6"/>
  <c r="AI71" i="6"/>
  <c r="AJ71" i="6"/>
  <c r="AK71" i="6"/>
  <c r="AL71" i="6"/>
  <c r="AM71" i="6"/>
  <c r="Z78" i="6"/>
  <c r="Z140" i="6" s="1"/>
  <c r="AA78" i="6"/>
  <c r="AA140" i="6" s="1"/>
  <c r="AB78" i="6"/>
  <c r="AB140" i="6" s="1"/>
  <c r="AC78" i="6"/>
  <c r="AC140" i="6" s="1"/>
  <c r="AD78" i="6"/>
  <c r="AD140" i="6" s="1"/>
  <c r="AE78" i="6"/>
  <c r="AE140" i="6" s="1"/>
  <c r="AF78" i="6"/>
  <c r="AF140" i="6" s="1"/>
  <c r="AG78" i="6"/>
  <c r="AG140" i="6" s="1"/>
  <c r="AH78" i="6"/>
  <c r="AH140" i="6" s="1"/>
  <c r="AI78" i="6"/>
  <c r="AI140" i="6" s="1"/>
  <c r="AJ78" i="6"/>
  <c r="AJ140" i="6" s="1"/>
  <c r="AK78" i="6"/>
  <c r="AK140" i="6" s="1"/>
  <c r="AL78" i="6"/>
  <c r="AL140" i="6" s="1"/>
  <c r="AM78" i="6"/>
  <c r="AM140" i="6" s="1"/>
  <c r="Z207" i="6"/>
  <c r="AA207" i="6"/>
  <c r="AB207" i="6"/>
  <c r="AC207" i="6"/>
  <c r="AD207" i="6"/>
  <c r="AE207" i="6"/>
  <c r="AF207" i="6"/>
  <c r="AG207" i="6"/>
  <c r="AH207" i="6"/>
  <c r="AI207" i="6"/>
  <c r="AJ207" i="6"/>
  <c r="AK207" i="6"/>
  <c r="AL207" i="6"/>
  <c r="AM207" i="6"/>
  <c r="C85" i="6"/>
  <c r="C84" i="6"/>
  <c r="C83" i="6"/>
  <c r="C26" i="7" s="1"/>
  <c r="C82" i="6"/>
  <c r="C77" i="6"/>
  <c r="C76" i="6"/>
  <c r="C75" i="6"/>
  <c r="C70" i="6"/>
  <c r="B174" i="6"/>
  <c r="A174" i="6"/>
  <c r="D104" i="6" l="1"/>
  <c r="D154" i="6"/>
  <c r="B152" i="6"/>
  <c r="A152" i="6"/>
  <c r="F152" i="6"/>
  <c r="G152" i="6"/>
  <c r="H152" i="6"/>
  <c r="I152" i="6"/>
  <c r="J152" i="6"/>
  <c r="D152" i="6"/>
  <c r="D153" i="6" s="1"/>
  <c r="D142" i="6"/>
  <c r="B140" i="6"/>
  <c r="B133" i="6"/>
  <c r="A78" i="6"/>
  <c r="A140" i="6" s="1"/>
  <c r="A71" i="6"/>
  <c r="A133" i="6" s="1"/>
  <c r="D199" i="6"/>
  <c r="H207" i="6"/>
  <c r="I207" i="6"/>
  <c r="J207" i="6"/>
  <c r="K207" i="6"/>
  <c r="L207" i="6"/>
  <c r="M207" i="6"/>
  <c r="N207" i="6"/>
  <c r="O207" i="6"/>
  <c r="P207" i="6"/>
  <c r="Q207" i="6"/>
  <c r="R207" i="6"/>
  <c r="S207" i="6"/>
  <c r="T207" i="6"/>
  <c r="U207" i="6"/>
  <c r="V207" i="6"/>
  <c r="W207" i="6"/>
  <c r="X207" i="6"/>
  <c r="Y207" i="6"/>
  <c r="K107" i="6"/>
  <c r="L107" i="6" s="1"/>
  <c r="M107" i="6" s="1"/>
  <c r="I115" i="6"/>
  <c r="H115" i="6"/>
  <c r="G115" i="6"/>
  <c r="F115" i="6"/>
  <c r="E115" i="6"/>
  <c r="D115" i="6"/>
  <c r="A115" i="6"/>
  <c r="K114" i="6"/>
  <c r="L114" i="6" s="1"/>
  <c r="M114" i="6" s="1"/>
  <c r="N114" i="6" s="1"/>
  <c r="O114" i="6" s="1"/>
  <c r="P114" i="6" s="1"/>
  <c r="Q114" i="6" s="1"/>
  <c r="R114" i="6" s="1"/>
  <c r="S114" i="6" s="1"/>
  <c r="T114" i="6" s="1"/>
  <c r="U114" i="6" s="1"/>
  <c r="V114" i="6" s="1"/>
  <c r="W114" i="6" s="1"/>
  <c r="X114" i="6" s="1"/>
  <c r="Y114" i="6" s="1"/>
  <c r="Z114" i="6" s="1"/>
  <c r="AA114" i="6" s="1"/>
  <c r="AB114" i="6" s="1"/>
  <c r="A110" i="6"/>
  <c r="I110" i="6"/>
  <c r="H110" i="6"/>
  <c r="G110" i="6"/>
  <c r="F110" i="6"/>
  <c r="E110" i="6"/>
  <c r="D110" i="6"/>
  <c r="K109" i="6"/>
  <c r="L109" i="6" s="1"/>
  <c r="M109" i="6" s="1"/>
  <c r="N109" i="6" s="1"/>
  <c r="Y71" i="6"/>
  <c r="X71" i="6"/>
  <c r="W71" i="6"/>
  <c r="V71" i="6"/>
  <c r="U71" i="6"/>
  <c r="T71" i="6"/>
  <c r="S71" i="6"/>
  <c r="R71" i="6"/>
  <c r="Q71" i="6"/>
  <c r="P71" i="6"/>
  <c r="O71" i="6"/>
  <c r="N71" i="6"/>
  <c r="M71" i="6"/>
  <c r="L71" i="6"/>
  <c r="K71" i="6"/>
  <c r="J71" i="6"/>
  <c r="I71" i="6"/>
  <c r="H71" i="6"/>
  <c r="G71" i="6"/>
  <c r="F71" i="6"/>
  <c r="E71" i="6"/>
  <c r="D71" i="6"/>
  <c r="F78" i="6"/>
  <c r="F140" i="6" s="1"/>
  <c r="E78" i="6"/>
  <c r="E140" i="6" s="1"/>
  <c r="G78" i="6"/>
  <c r="G140" i="6" s="1"/>
  <c r="H78" i="6"/>
  <c r="H140" i="6" s="1"/>
  <c r="I78" i="6"/>
  <c r="I140" i="6" s="1"/>
  <c r="J78" i="6"/>
  <c r="J140" i="6" s="1"/>
  <c r="K78" i="6"/>
  <c r="K140" i="6" s="1"/>
  <c r="L78" i="6"/>
  <c r="L140" i="6" s="1"/>
  <c r="M78" i="6"/>
  <c r="M140" i="6" s="1"/>
  <c r="N78" i="6"/>
  <c r="N140" i="6" s="1"/>
  <c r="O78" i="6"/>
  <c r="O140" i="6" s="1"/>
  <c r="P78" i="6"/>
  <c r="P140" i="6" s="1"/>
  <c r="Q78" i="6"/>
  <c r="Q140" i="6" s="1"/>
  <c r="R78" i="6"/>
  <c r="R140" i="6" s="1"/>
  <c r="S78" i="6"/>
  <c r="S140" i="6" s="1"/>
  <c r="T78" i="6"/>
  <c r="T140" i="6" s="1"/>
  <c r="U78" i="6"/>
  <c r="U140" i="6" s="1"/>
  <c r="V78" i="6"/>
  <c r="V140" i="6" s="1"/>
  <c r="W78" i="6"/>
  <c r="W140" i="6" s="1"/>
  <c r="X78" i="6"/>
  <c r="X140" i="6" s="1"/>
  <c r="Y78" i="6"/>
  <c r="Y140" i="6" s="1"/>
  <c r="D78" i="6"/>
  <c r="K89" i="6"/>
  <c r="N66" i="6"/>
  <c r="O66" i="6"/>
  <c r="P66" i="6"/>
  <c r="Q66" i="6"/>
  <c r="R66" i="6"/>
  <c r="S66" i="6"/>
  <c r="T66" i="6"/>
  <c r="U66" i="6"/>
  <c r="V66" i="6"/>
  <c r="W66" i="6"/>
  <c r="X66" i="6"/>
  <c r="Y66" i="6"/>
  <c r="R109" i="6" l="1"/>
  <c r="S109" i="6" s="1"/>
  <c r="T109" i="6" s="1"/>
  <c r="U109" i="6" s="1"/>
  <c r="V109" i="6" s="1"/>
  <c r="W109" i="6" s="1"/>
  <c r="X109" i="6" s="1"/>
  <c r="Y109" i="6" s="1"/>
  <c r="Z109" i="6" s="1"/>
  <c r="N107" i="6"/>
  <c r="M110" i="6"/>
  <c r="D92" i="6"/>
  <c r="L89" i="6"/>
  <c r="K90" i="6"/>
  <c r="K152" i="6" s="1"/>
  <c r="E92" i="6"/>
  <c r="F92" i="6"/>
  <c r="G92" i="6"/>
  <c r="H92" i="6"/>
  <c r="I92" i="6"/>
  <c r="J92" i="6"/>
  <c r="D117" i="6"/>
  <c r="K102" i="6"/>
  <c r="L102" i="6" s="1"/>
  <c r="M102" i="6" s="1"/>
  <c r="C71" i="6"/>
  <c r="D140" i="6"/>
  <c r="C78" i="6"/>
  <c r="AC114" i="6"/>
  <c r="E142" i="6"/>
  <c r="F142" i="6" s="1"/>
  <c r="G142" i="6" s="1"/>
  <c r="H142" i="6" s="1"/>
  <c r="E154" i="6"/>
  <c r="F154" i="6" s="1"/>
  <c r="D155" i="6"/>
  <c r="D156" i="6" s="1"/>
  <c r="E149" i="6" s="1"/>
  <c r="E152" i="6"/>
  <c r="J115" i="6"/>
  <c r="K113" i="6"/>
  <c r="K110" i="6"/>
  <c r="O110" i="6"/>
  <c r="L110" i="6"/>
  <c r="P110" i="6"/>
  <c r="Q110" i="6"/>
  <c r="J110" i="6"/>
  <c r="AD109" i="6" l="1"/>
  <c r="AE109" i="6" s="1"/>
  <c r="AF109" i="6" s="1"/>
  <c r="AG109" i="6" s="1"/>
  <c r="AH109" i="6" s="1"/>
  <c r="AI109" i="6" s="1"/>
  <c r="AJ109" i="6" s="1"/>
  <c r="AK109" i="6" s="1"/>
  <c r="AL109" i="6" s="1"/>
  <c r="AM109" i="6" s="1"/>
  <c r="R107" i="6"/>
  <c r="R110" i="6" s="1"/>
  <c r="E153" i="6"/>
  <c r="E155" i="6" s="1"/>
  <c r="D141" i="6"/>
  <c r="D143" i="6" s="1"/>
  <c r="C140" i="6"/>
  <c r="N110" i="6"/>
  <c r="N102" i="6"/>
  <c r="O102" i="6" s="1"/>
  <c r="P102" i="6" s="1"/>
  <c r="Q102" i="6" s="1"/>
  <c r="R102" i="6" s="1"/>
  <c r="S102" i="6" s="1"/>
  <c r="T102" i="6" s="1"/>
  <c r="U102" i="6" s="1"/>
  <c r="V102" i="6" s="1"/>
  <c r="W102" i="6" s="1"/>
  <c r="X102" i="6" s="1"/>
  <c r="Y102" i="6" s="1"/>
  <c r="Z102" i="6" s="1"/>
  <c r="AA102" i="6" s="1"/>
  <c r="AB102" i="6" s="1"/>
  <c r="M89" i="6"/>
  <c r="L90" i="6"/>
  <c r="K92" i="6"/>
  <c r="K209" i="6" s="1"/>
  <c r="E104" i="6"/>
  <c r="E117" i="6" s="1"/>
  <c r="I104" i="6"/>
  <c r="I117" i="6" s="1"/>
  <c r="G104" i="6"/>
  <c r="G117" i="6" s="1"/>
  <c r="H104" i="6"/>
  <c r="H117" i="6" s="1"/>
  <c r="F104" i="6"/>
  <c r="F117" i="6" s="1"/>
  <c r="C99" i="6"/>
  <c r="AA110" i="6"/>
  <c r="AD114" i="6"/>
  <c r="G154" i="6"/>
  <c r="I142" i="6"/>
  <c r="H186" i="6"/>
  <c r="H209" i="6"/>
  <c r="I186" i="6"/>
  <c r="I209" i="6"/>
  <c r="J186" i="6"/>
  <c r="J209" i="6"/>
  <c r="D118" i="6"/>
  <c r="K115" i="6"/>
  <c r="L113" i="6"/>
  <c r="K103" i="6"/>
  <c r="J104" i="6"/>
  <c r="J117" i="6" s="1"/>
  <c r="J119" i="6" s="1"/>
  <c r="S107" i="6" l="1"/>
  <c r="D144" i="6"/>
  <c r="E138" i="6" s="1"/>
  <c r="E141" i="6" s="1"/>
  <c r="E143" i="6" s="1"/>
  <c r="E158" i="6" s="1"/>
  <c r="E169" i="6" s="1"/>
  <c r="D158" i="6"/>
  <c r="M90" i="6"/>
  <c r="N89" i="6"/>
  <c r="L92" i="6"/>
  <c r="L186" i="6" s="1"/>
  <c r="L152" i="6"/>
  <c r="F168" i="6"/>
  <c r="I168" i="6"/>
  <c r="G168" i="6"/>
  <c r="AC103" i="6"/>
  <c r="AB110" i="6"/>
  <c r="AE114" i="6"/>
  <c r="E156" i="6"/>
  <c r="J168" i="6"/>
  <c r="K186" i="6"/>
  <c r="H154" i="6"/>
  <c r="J142" i="6"/>
  <c r="M113" i="6"/>
  <c r="M115" i="6" s="1"/>
  <c r="L115" i="6"/>
  <c r="L103" i="6"/>
  <c r="K104" i="6"/>
  <c r="K117" i="6" s="1"/>
  <c r="K119" i="6" s="1"/>
  <c r="T107" i="6" l="1"/>
  <c r="S110" i="6"/>
  <c r="L209" i="6"/>
  <c r="N90" i="6"/>
  <c r="N92" i="6" s="1"/>
  <c r="O89" i="6"/>
  <c r="M92" i="6"/>
  <c r="M152" i="6"/>
  <c r="I187" i="6"/>
  <c r="I210" i="6"/>
  <c r="E144" i="6"/>
  <c r="F138" i="6" s="1"/>
  <c r="F141" i="6" s="1"/>
  <c r="K168" i="6"/>
  <c r="AD102" i="6"/>
  <c r="AC110" i="6"/>
  <c r="AF114" i="6"/>
  <c r="J187" i="6"/>
  <c r="J210" i="6"/>
  <c r="F149" i="6"/>
  <c r="F153" i="6" s="1"/>
  <c r="I154" i="6"/>
  <c r="K142" i="6"/>
  <c r="H168" i="6"/>
  <c r="H187" i="6"/>
  <c r="H210" i="6"/>
  <c r="N113" i="6"/>
  <c r="M103" i="6"/>
  <c r="M104" i="6" s="1"/>
  <c r="L104" i="6"/>
  <c r="L117" i="6" s="1"/>
  <c r="L119" i="6" s="1"/>
  <c r="U107" i="6" l="1"/>
  <c r="T110" i="6"/>
  <c r="M209" i="6"/>
  <c r="M186" i="6"/>
  <c r="O90" i="6"/>
  <c r="P89" i="6"/>
  <c r="N186" i="6"/>
  <c r="N209" i="6"/>
  <c r="N152" i="6"/>
  <c r="K187" i="6"/>
  <c r="K210" i="6"/>
  <c r="AE102" i="6"/>
  <c r="AG114" i="6"/>
  <c r="F143" i="6"/>
  <c r="F144" i="6" s="1"/>
  <c r="F155" i="6"/>
  <c r="J154" i="6"/>
  <c r="L142" i="6"/>
  <c r="L168" i="6"/>
  <c r="L187" i="6"/>
  <c r="L210" i="6"/>
  <c r="E118" i="6"/>
  <c r="N115" i="6"/>
  <c r="O113" i="6"/>
  <c r="N103" i="6"/>
  <c r="M117" i="6"/>
  <c r="M119" i="6" s="1"/>
  <c r="D66" i="6"/>
  <c r="C66" i="6"/>
  <c r="B66" i="6"/>
  <c r="A66" i="6"/>
  <c r="V107" i="6" l="1"/>
  <c r="U110" i="6"/>
  <c r="P90" i="6"/>
  <c r="Q89" i="6"/>
  <c r="O92" i="6"/>
  <c r="O152" i="6"/>
  <c r="AF102" i="6"/>
  <c r="AH114" i="6"/>
  <c r="F158" i="6"/>
  <c r="F156" i="6"/>
  <c r="G149" i="6" s="1"/>
  <c r="G153" i="6" s="1"/>
  <c r="G138" i="6"/>
  <c r="G141" i="6" s="1"/>
  <c r="K154" i="6"/>
  <c r="M142" i="6"/>
  <c r="M168" i="6"/>
  <c r="M187" i="6"/>
  <c r="M210" i="6"/>
  <c r="F118" i="6"/>
  <c r="O115" i="6"/>
  <c r="P113" i="6"/>
  <c r="N104" i="6"/>
  <c r="N117" i="6" s="1"/>
  <c r="N119" i="6" s="1"/>
  <c r="B166" i="6"/>
  <c r="E166" i="6"/>
  <c r="A166" i="6"/>
  <c r="W107" i="6" l="1"/>
  <c r="V110" i="6"/>
  <c r="F169" i="6"/>
  <c r="O186" i="6"/>
  <c r="O209" i="6"/>
  <c r="Q90" i="6"/>
  <c r="R89" i="6"/>
  <c r="P92" i="6"/>
  <c r="P152" i="6"/>
  <c r="AG102" i="6"/>
  <c r="AI114" i="6"/>
  <c r="G143" i="6"/>
  <c r="G144" i="6" s="1"/>
  <c r="G155" i="6"/>
  <c r="L154" i="6"/>
  <c r="N142" i="6"/>
  <c r="N168" i="6"/>
  <c r="N187" i="6"/>
  <c r="N210" i="6"/>
  <c r="F166" i="6"/>
  <c r="G118" i="6"/>
  <c r="Q113" i="6"/>
  <c r="P115" i="6"/>
  <c r="O104" i="6"/>
  <c r="O117" i="6" s="1"/>
  <c r="D166" i="6"/>
  <c r="X107" i="6" l="1"/>
  <c r="W110" i="6"/>
  <c r="F170" i="6"/>
  <c r="F174" i="6" s="1"/>
  <c r="P209" i="6"/>
  <c r="P186" i="6"/>
  <c r="R90" i="6"/>
  <c r="S89" i="6"/>
  <c r="Q92" i="6"/>
  <c r="Q152" i="6"/>
  <c r="AH102" i="6"/>
  <c r="AJ114" i="6"/>
  <c r="G158" i="6"/>
  <c r="G156" i="6"/>
  <c r="H149" i="6" s="1"/>
  <c r="H153" i="6" s="1"/>
  <c r="H138" i="6"/>
  <c r="H141" i="6" s="1"/>
  <c r="M154" i="6"/>
  <c r="O142" i="6"/>
  <c r="O168" i="6"/>
  <c r="O210" i="6"/>
  <c r="O187" i="6"/>
  <c r="G166" i="6"/>
  <c r="H118" i="6"/>
  <c r="Q115" i="6"/>
  <c r="R113" i="6"/>
  <c r="P104" i="6"/>
  <c r="P117" i="6" s="1"/>
  <c r="E210" i="6"/>
  <c r="E187" i="6"/>
  <c r="E168" i="6"/>
  <c r="B168" i="6"/>
  <c r="B169" i="6"/>
  <c r="A211" i="6"/>
  <c r="A210" i="6"/>
  <c r="A209" i="6"/>
  <c r="A208" i="6"/>
  <c r="D207" i="6"/>
  <c r="C207" i="6"/>
  <c r="B207" i="6"/>
  <c r="A207" i="6"/>
  <c r="D200" i="6"/>
  <c r="E199" i="6"/>
  <c r="B185" i="6"/>
  <c r="B7" i="6" s="1"/>
  <c r="B186" i="6"/>
  <c r="B8" i="6" s="1"/>
  <c r="B187" i="6"/>
  <c r="B9" i="6" s="1"/>
  <c r="B188" i="6"/>
  <c r="B10" i="6" s="1"/>
  <c r="A188" i="6"/>
  <c r="A10" i="6" s="1"/>
  <c r="A187" i="6"/>
  <c r="A9" i="6" s="1"/>
  <c r="A186" i="6"/>
  <c r="A8" i="6" s="1"/>
  <c r="A185" i="6"/>
  <c r="A7" i="6" s="1"/>
  <c r="E176" i="6"/>
  <c r="F176" i="6" s="1"/>
  <c r="G176" i="6" s="1"/>
  <c r="H176" i="6" s="1"/>
  <c r="I176" i="6" s="1"/>
  <c r="J176" i="6" s="1"/>
  <c r="K176" i="6" s="1"/>
  <c r="L176" i="6" s="1"/>
  <c r="M176" i="6" s="1"/>
  <c r="N176" i="6" s="1"/>
  <c r="O176" i="6" s="1"/>
  <c r="P176" i="6" s="1"/>
  <c r="A169" i="6"/>
  <c r="A168" i="6"/>
  <c r="Y107" i="6" l="1"/>
  <c r="X110" i="6"/>
  <c r="G169" i="6"/>
  <c r="G170" i="6" s="1"/>
  <c r="G174" i="6" s="1"/>
  <c r="S90" i="6"/>
  <c r="T89" i="6"/>
  <c r="Q186" i="6"/>
  <c r="Q209" i="6"/>
  <c r="R92" i="6"/>
  <c r="R152" i="6"/>
  <c r="AI102" i="6"/>
  <c r="AK114" i="6"/>
  <c r="H143" i="6"/>
  <c r="H144" i="6" s="1"/>
  <c r="H155" i="6"/>
  <c r="N154" i="6"/>
  <c r="P142" i="6"/>
  <c r="P168" i="6"/>
  <c r="P187" i="6"/>
  <c r="P210" i="6"/>
  <c r="H185" i="6"/>
  <c r="H208" i="6"/>
  <c r="H166" i="6"/>
  <c r="Q176" i="6"/>
  <c r="I118" i="6"/>
  <c r="R115" i="6"/>
  <c r="S113" i="6"/>
  <c r="Q104" i="6"/>
  <c r="Q117" i="6" s="1"/>
  <c r="E66" i="6"/>
  <c r="D185" i="6"/>
  <c r="D208" i="6"/>
  <c r="E207" i="6"/>
  <c r="F199" i="6"/>
  <c r="E200" i="6"/>
  <c r="Z107" i="6" l="1"/>
  <c r="Y110" i="6"/>
  <c r="R186" i="6"/>
  <c r="R209" i="6"/>
  <c r="T90" i="6"/>
  <c r="U89" i="6"/>
  <c r="S92" i="6"/>
  <c r="S152" i="6"/>
  <c r="AJ102" i="6"/>
  <c r="AL114" i="6"/>
  <c r="H158" i="6"/>
  <c r="H156" i="6"/>
  <c r="I149" i="6" s="1"/>
  <c r="I138" i="6"/>
  <c r="I141" i="6" s="1"/>
  <c r="O154" i="6"/>
  <c r="Q142" i="6"/>
  <c r="Q168" i="6"/>
  <c r="Q187" i="6"/>
  <c r="Q210" i="6"/>
  <c r="I185" i="6"/>
  <c r="I208" i="6"/>
  <c r="I166" i="6"/>
  <c r="R176" i="6"/>
  <c r="J118" i="6"/>
  <c r="S115" i="6"/>
  <c r="T113" i="6"/>
  <c r="S103" i="6"/>
  <c r="R104" i="6"/>
  <c r="R117" i="6" s="1"/>
  <c r="R119" i="6" s="1"/>
  <c r="F186" i="6"/>
  <c r="G210" i="6"/>
  <c r="G187" i="6"/>
  <c r="F207" i="6"/>
  <c r="G66" i="6"/>
  <c r="F66" i="6"/>
  <c r="D210" i="6"/>
  <c r="G199" i="6"/>
  <c r="H199" i="6" s="1"/>
  <c r="I199" i="6" s="1"/>
  <c r="J199" i="6" s="1"/>
  <c r="K199" i="6" s="1"/>
  <c r="L199" i="6" s="1"/>
  <c r="M199" i="6" s="1"/>
  <c r="N199" i="6" s="1"/>
  <c r="O199" i="6" s="1"/>
  <c r="P199" i="6" s="1"/>
  <c r="Q199" i="6" s="1"/>
  <c r="R199" i="6" s="1"/>
  <c r="S199" i="6" s="1"/>
  <c r="T199" i="6" s="1"/>
  <c r="U199" i="6" s="1"/>
  <c r="V199" i="6" s="1"/>
  <c r="W199" i="6" s="1"/>
  <c r="X199" i="6" s="1"/>
  <c r="Y199" i="6" s="1"/>
  <c r="Z199" i="6" s="1"/>
  <c r="AA199" i="6" s="1"/>
  <c r="AB199" i="6" s="1"/>
  <c r="AC199" i="6" s="1"/>
  <c r="AD199" i="6" s="1"/>
  <c r="AE199" i="6" s="1"/>
  <c r="AF199" i="6" s="1"/>
  <c r="AG199" i="6" s="1"/>
  <c r="AH199" i="6" s="1"/>
  <c r="AI199" i="6" s="1"/>
  <c r="AJ199" i="6" s="1"/>
  <c r="AK199" i="6" s="1"/>
  <c r="AL199" i="6" s="1"/>
  <c r="AM199" i="6" s="1"/>
  <c r="G207" i="6"/>
  <c r="F200" i="6"/>
  <c r="AD107" i="6" l="1"/>
  <c r="AD110" i="6" s="1"/>
  <c r="Z110" i="6"/>
  <c r="H169" i="6"/>
  <c r="H170" i="6" s="1"/>
  <c r="H174" i="6" s="1"/>
  <c r="I153" i="6"/>
  <c r="I155" i="6" s="1"/>
  <c r="I156" i="6" s="1"/>
  <c r="J149" i="6" s="1"/>
  <c r="J153" i="6" s="1"/>
  <c r="J155" i="6" s="1"/>
  <c r="J156" i="6" s="1"/>
  <c r="K149" i="6" s="1"/>
  <c r="K153" i="6" s="1"/>
  <c r="U90" i="6"/>
  <c r="V89" i="6"/>
  <c r="S186" i="6"/>
  <c r="S209" i="6"/>
  <c r="T92" i="6"/>
  <c r="T152" i="6"/>
  <c r="AK102" i="6"/>
  <c r="AM114" i="6"/>
  <c r="I143" i="6"/>
  <c r="P154" i="6"/>
  <c r="R142" i="6"/>
  <c r="R168" i="6"/>
  <c r="R187" i="6"/>
  <c r="R210" i="6"/>
  <c r="J185" i="6"/>
  <c r="J208" i="6"/>
  <c r="J166" i="6"/>
  <c r="S176" i="6"/>
  <c r="U113" i="6"/>
  <c r="T115" i="6"/>
  <c r="T103" i="6"/>
  <c r="S104" i="6"/>
  <c r="S117" i="6" s="1"/>
  <c r="S119" i="6" s="1"/>
  <c r="F210" i="6"/>
  <c r="F187" i="6"/>
  <c r="H66" i="6"/>
  <c r="F209" i="6"/>
  <c r="D187" i="6"/>
  <c r="G200" i="6"/>
  <c r="H200" i="6" s="1"/>
  <c r="I200" i="6" s="1"/>
  <c r="J200" i="6" s="1"/>
  <c r="K200" i="6" s="1"/>
  <c r="L200" i="6" s="1"/>
  <c r="M200" i="6" s="1"/>
  <c r="N200" i="6" s="1"/>
  <c r="O200" i="6" s="1"/>
  <c r="P200" i="6" s="1"/>
  <c r="Q200" i="6" s="1"/>
  <c r="R200" i="6" s="1"/>
  <c r="S200" i="6" s="1"/>
  <c r="T200" i="6" s="1"/>
  <c r="D168" i="6"/>
  <c r="AE107" i="6" l="1"/>
  <c r="I158" i="6"/>
  <c r="I169" i="6" s="1"/>
  <c r="I170" i="6" s="1"/>
  <c r="I174" i="6" s="1"/>
  <c r="V90" i="6"/>
  <c r="W89" i="6"/>
  <c r="T186" i="6"/>
  <c r="T209" i="6"/>
  <c r="U92" i="6"/>
  <c r="U152" i="6"/>
  <c r="AL102" i="6"/>
  <c r="K118" i="6"/>
  <c r="I144" i="6"/>
  <c r="J138" i="6" s="1"/>
  <c r="J141" i="6" s="1"/>
  <c r="J143" i="6" s="1"/>
  <c r="K155" i="6"/>
  <c r="K156" i="6" s="1"/>
  <c r="L149" i="6" s="1"/>
  <c r="L153" i="6" s="1"/>
  <c r="Q154" i="6"/>
  <c r="S142" i="6"/>
  <c r="S168" i="6"/>
  <c r="S210" i="6"/>
  <c r="S187" i="6"/>
  <c r="K208" i="6"/>
  <c r="K185" i="6"/>
  <c r="U200" i="6"/>
  <c r="K166" i="6"/>
  <c r="T176" i="6"/>
  <c r="U115" i="6"/>
  <c r="V113" i="6"/>
  <c r="U103" i="6"/>
  <c r="T104" i="6"/>
  <c r="T117" i="6" s="1"/>
  <c r="T119" i="6" s="1"/>
  <c r="L118" i="6"/>
  <c r="I66" i="6"/>
  <c r="E208" i="6"/>
  <c r="E185" i="6"/>
  <c r="E209" i="6"/>
  <c r="E186" i="6"/>
  <c r="AF107" i="6" l="1"/>
  <c r="AE110" i="6"/>
  <c r="W90" i="6"/>
  <c r="X89" i="6"/>
  <c r="U186" i="6"/>
  <c r="U209" i="6"/>
  <c r="V92" i="6"/>
  <c r="V152" i="6"/>
  <c r="T168" i="6"/>
  <c r="AM102" i="6"/>
  <c r="J144" i="6"/>
  <c r="K138" i="6" s="1"/>
  <c r="K141" i="6" s="1"/>
  <c r="K143" i="6" s="1"/>
  <c r="K144" i="6" s="1"/>
  <c r="L138" i="6" s="1"/>
  <c r="L141" i="6" s="1"/>
  <c r="J158" i="6"/>
  <c r="J169" i="6" s="1"/>
  <c r="J170" i="6" s="1"/>
  <c r="J174" i="6" s="1"/>
  <c r="L155" i="6"/>
  <c r="L156" i="6" s="1"/>
  <c r="M149" i="6" s="1"/>
  <c r="M153" i="6" s="1"/>
  <c r="R154" i="6"/>
  <c r="T142" i="6"/>
  <c r="L185" i="6"/>
  <c r="L208" i="6"/>
  <c r="V200" i="6"/>
  <c r="L166" i="6"/>
  <c r="U176" i="6"/>
  <c r="V115" i="6"/>
  <c r="W113" i="6"/>
  <c r="V103" i="6"/>
  <c r="U104" i="6"/>
  <c r="U117" i="6" s="1"/>
  <c r="U119" i="6" s="1"/>
  <c r="M118" i="6"/>
  <c r="J66" i="6"/>
  <c r="D169" i="6"/>
  <c r="F208" i="6"/>
  <c r="F185" i="6"/>
  <c r="AG107" i="6" l="1"/>
  <c r="AF110" i="6"/>
  <c r="V209" i="6"/>
  <c r="V186" i="6"/>
  <c r="X90" i="6"/>
  <c r="Y89" i="6"/>
  <c r="W92" i="6"/>
  <c r="W152" i="6"/>
  <c r="T187" i="6"/>
  <c r="T210" i="6"/>
  <c r="K158" i="6"/>
  <c r="K169" i="6" s="1"/>
  <c r="K170" i="6" s="1"/>
  <c r="K174" i="6" s="1"/>
  <c r="L143" i="6"/>
  <c r="L144" i="6" s="1"/>
  <c r="M138" i="6" s="1"/>
  <c r="M141" i="6" s="1"/>
  <c r="M155" i="6"/>
  <c r="M156" i="6" s="1"/>
  <c r="N149" i="6" s="1"/>
  <c r="N153" i="6" s="1"/>
  <c r="S154" i="6"/>
  <c r="U142" i="6"/>
  <c r="U168" i="6"/>
  <c r="U187" i="6"/>
  <c r="U210" i="6"/>
  <c r="M185" i="6"/>
  <c r="M208" i="6"/>
  <c r="W200" i="6"/>
  <c r="M166" i="6"/>
  <c r="V176" i="6"/>
  <c r="W115" i="6"/>
  <c r="X113" i="6"/>
  <c r="W103" i="6"/>
  <c r="V104" i="6"/>
  <c r="V117" i="6" s="1"/>
  <c r="V119" i="6" s="1"/>
  <c r="D170" i="6"/>
  <c r="K66" i="6"/>
  <c r="G185" i="6"/>
  <c r="G208" i="6"/>
  <c r="G186" i="6"/>
  <c r="G209" i="6"/>
  <c r="AH107" i="6" l="1"/>
  <c r="AG110" i="6"/>
  <c r="Y90" i="6"/>
  <c r="Z89" i="6"/>
  <c r="X92" i="6"/>
  <c r="X152" i="6"/>
  <c r="W186" i="6"/>
  <c r="W209" i="6"/>
  <c r="N118" i="6"/>
  <c r="L158" i="6"/>
  <c r="L169" i="6" s="1"/>
  <c r="L170" i="6" s="1"/>
  <c r="L174" i="6" s="1"/>
  <c r="D174" i="6"/>
  <c r="D175" i="6" s="1"/>
  <c r="M143" i="6"/>
  <c r="M158" i="6" s="1"/>
  <c r="M169" i="6" s="1"/>
  <c r="M170" i="6" s="1"/>
  <c r="M174" i="6" s="1"/>
  <c r="N155" i="6"/>
  <c r="N156" i="6" s="1"/>
  <c r="O149" i="6" s="1"/>
  <c r="O153" i="6" s="1"/>
  <c r="T154" i="6"/>
  <c r="V142" i="6"/>
  <c r="V168" i="6"/>
  <c r="V187" i="6"/>
  <c r="V210" i="6"/>
  <c r="N185" i="6"/>
  <c r="N208" i="6"/>
  <c r="X200" i="6"/>
  <c r="N166" i="6"/>
  <c r="W176" i="6"/>
  <c r="O118" i="6"/>
  <c r="Y113" i="6"/>
  <c r="Z113" i="6" s="1"/>
  <c r="X115" i="6"/>
  <c r="X103" i="6"/>
  <c r="W104" i="6"/>
  <c r="W117" i="6" s="1"/>
  <c r="W119" i="6" s="1"/>
  <c r="L66" i="6"/>
  <c r="AI107" i="6" l="1"/>
  <c r="AH110" i="6"/>
  <c r="X186" i="6"/>
  <c r="X209" i="6"/>
  <c r="Z90" i="6"/>
  <c r="AA89" i="6"/>
  <c r="Y92" i="6"/>
  <c r="Y152" i="6"/>
  <c r="AA113" i="6"/>
  <c r="Z115" i="6"/>
  <c r="D178" i="6"/>
  <c r="E173" i="6" s="1"/>
  <c r="D177" i="6"/>
  <c r="M144" i="6"/>
  <c r="N138" i="6" s="1"/>
  <c r="N141" i="6" s="1"/>
  <c r="N143" i="6" s="1"/>
  <c r="N158" i="6" s="1"/>
  <c r="N169" i="6" s="1"/>
  <c r="N170" i="6" s="1"/>
  <c r="N174" i="6" s="1"/>
  <c r="O155" i="6"/>
  <c r="O156" i="6" s="1"/>
  <c r="P149" i="6" s="1"/>
  <c r="P153" i="6" s="1"/>
  <c r="U154" i="6"/>
  <c r="W142" i="6"/>
  <c r="W168" i="6"/>
  <c r="W210" i="6"/>
  <c r="W187" i="6"/>
  <c r="O185" i="6"/>
  <c r="O208" i="6"/>
  <c r="Y200" i="6"/>
  <c r="Z200" i="6" s="1"/>
  <c r="AA200" i="6" s="1"/>
  <c r="AB200" i="6" s="1"/>
  <c r="AC200" i="6" s="1"/>
  <c r="AD200" i="6" s="1"/>
  <c r="AE200" i="6" s="1"/>
  <c r="AF200" i="6" s="1"/>
  <c r="AG200" i="6" s="1"/>
  <c r="AH200" i="6" s="1"/>
  <c r="AI200" i="6" s="1"/>
  <c r="AJ200" i="6" s="1"/>
  <c r="AK200" i="6" s="1"/>
  <c r="AL200" i="6" s="1"/>
  <c r="AM200" i="6" s="1"/>
  <c r="O166" i="6"/>
  <c r="X176" i="6"/>
  <c r="P118" i="6"/>
  <c r="Y115" i="6"/>
  <c r="Y103" i="6"/>
  <c r="Z103" i="6" s="1"/>
  <c r="X104" i="6"/>
  <c r="X117" i="6" s="1"/>
  <c r="X119" i="6" s="1"/>
  <c r="E170" i="6"/>
  <c r="M66" i="6"/>
  <c r="AJ107" i="6" l="1"/>
  <c r="AI110" i="6"/>
  <c r="E174" i="6"/>
  <c r="E175" i="6" s="1"/>
  <c r="AA90" i="6"/>
  <c r="AB89" i="6"/>
  <c r="Y186" i="6"/>
  <c r="Y209" i="6"/>
  <c r="Z92" i="6"/>
  <c r="Z152" i="6"/>
  <c r="Z104" i="6"/>
  <c r="Z117" i="6" s="1"/>
  <c r="Z119" i="6" s="1"/>
  <c r="AB113" i="6"/>
  <c r="AA115" i="6"/>
  <c r="N144" i="6"/>
  <c r="O138" i="6" s="1"/>
  <c r="O141" i="6" s="1"/>
  <c r="P155" i="6"/>
  <c r="P156" i="6" s="1"/>
  <c r="Q149" i="6" s="1"/>
  <c r="Q153" i="6" s="1"/>
  <c r="V154" i="6"/>
  <c r="X142" i="6"/>
  <c r="X168" i="6"/>
  <c r="X187" i="6"/>
  <c r="X210" i="6"/>
  <c r="D180" i="6"/>
  <c r="D211" i="6" s="1"/>
  <c r="P185" i="6"/>
  <c r="P208" i="6"/>
  <c r="P166" i="6"/>
  <c r="Y176" i="6"/>
  <c r="Z176" i="6" s="1"/>
  <c r="AA176" i="6" s="1"/>
  <c r="AB176" i="6" s="1"/>
  <c r="AC176" i="6" s="1"/>
  <c r="AD176" i="6" s="1"/>
  <c r="AE176" i="6" s="1"/>
  <c r="AF176" i="6" s="1"/>
  <c r="AG176" i="6" s="1"/>
  <c r="AH176" i="6" s="1"/>
  <c r="AI176" i="6" s="1"/>
  <c r="AJ176" i="6" s="1"/>
  <c r="AK176" i="6" s="1"/>
  <c r="AL176" i="6" s="1"/>
  <c r="AM176" i="6" s="1"/>
  <c r="Y104" i="6"/>
  <c r="Y117" i="6" s="1"/>
  <c r="Y119" i="6" s="1"/>
  <c r="AK107" i="6" l="1"/>
  <c r="AJ110" i="6"/>
  <c r="Z209" i="6"/>
  <c r="Z186" i="6"/>
  <c r="AB90" i="6"/>
  <c r="AC89" i="6"/>
  <c r="AA92" i="6"/>
  <c r="AA152" i="6"/>
  <c r="AC113" i="6"/>
  <c r="AB115" i="6"/>
  <c r="Z168" i="6"/>
  <c r="Z187" i="6"/>
  <c r="Z210" i="6"/>
  <c r="AA104" i="6"/>
  <c r="AA117" i="6" s="1"/>
  <c r="Q118" i="6"/>
  <c r="E177" i="6"/>
  <c r="E180" i="6" s="1"/>
  <c r="E211" i="6" s="1"/>
  <c r="E178" i="6"/>
  <c r="F173" i="6" s="1"/>
  <c r="F175" i="6" s="1"/>
  <c r="F177" i="6" s="1"/>
  <c r="O143" i="6"/>
  <c r="O158" i="6" s="1"/>
  <c r="O169" i="6" s="1"/>
  <c r="O170" i="6" s="1"/>
  <c r="Q155" i="6"/>
  <c r="Q156" i="6" s="1"/>
  <c r="R149" i="6" s="1"/>
  <c r="R153" i="6" s="1"/>
  <c r="D188" i="6"/>
  <c r="W154" i="6"/>
  <c r="Y142" i="6"/>
  <c r="Z142" i="6" s="1"/>
  <c r="AA142" i="6" s="1"/>
  <c r="Q185" i="6"/>
  <c r="Q208" i="6"/>
  <c r="Y168" i="6"/>
  <c r="Y187" i="6"/>
  <c r="Y210" i="6"/>
  <c r="Q166" i="6"/>
  <c r="R118" i="6"/>
  <c r="AL107" i="6" l="1"/>
  <c r="AK110" i="6"/>
  <c r="O174" i="6"/>
  <c r="AA186" i="6"/>
  <c r="AA209" i="6"/>
  <c r="AC90" i="6"/>
  <c r="AD89" i="6"/>
  <c r="AB92" i="6"/>
  <c r="AB152" i="6"/>
  <c r="AA187" i="6"/>
  <c r="AA168" i="6"/>
  <c r="AA210" i="6"/>
  <c r="AB142" i="6"/>
  <c r="AB104" i="6"/>
  <c r="AB117" i="6" s="1"/>
  <c r="AD113" i="6"/>
  <c r="AC115" i="6"/>
  <c r="O144" i="6"/>
  <c r="P138" i="6" s="1"/>
  <c r="P141" i="6" s="1"/>
  <c r="P143" i="6" s="1"/>
  <c r="P144" i="6" s="1"/>
  <c r="F178" i="6"/>
  <c r="G173" i="6" s="1"/>
  <c r="G175" i="6" s="1"/>
  <c r="G177" i="6" s="1"/>
  <c r="R155" i="6"/>
  <c r="R156" i="6" s="1"/>
  <c r="S149" i="6" s="1"/>
  <c r="S153" i="6" s="1"/>
  <c r="X154" i="6"/>
  <c r="F180" i="6"/>
  <c r="R185" i="6"/>
  <c r="R208" i="6"/>
  <c r="R166" i="6"/>
  <c r="S118" i="6"/>
  <c r="E188" i="6"/>
  <c r="E189" i="6" s="1"/>
  <c r="E202" i="6" s="1"/>
  <c r="E213" i="6"/>
  <c r="E212" i="6"/>
  <c r="AM107" i="6" l="1"/>
  <c r="AM110" i="6" s="1"/>
  <c r="AL110" i="6"/>
  <c r="AB209" i="6"/>
  <c r="AB186" i="6"/>
  <c r="AD90" i="6"/>
  <c r="AE89" i="6"/>
  <c r="AC92" i="6"/>
  <c r="AC152" i="6"/>
  <c r="AB210" i="6"/>
  <c r="AB187" i="6"/>
  <c r="AB168" i="6"/>
  <c r="AC104" i="6"/>
  <c r="AC117" i="6" s="1"/>
  <c r="AC142" i="6"/>
  <c r="AE113" i="6"/>
  <c r="AD115" i="6"/>
  <c r="G178" i="6"/>
  <c r="H173" i="6" s="1"/>
  <c r="H175" i="6" s="1"/>
  <c r="H177" i="6" s="1"/>
  <c r="Q138" i="6"/>
  <c r="Q141" i="6" s="1"/>
  <c r="P158" i="6"/>
  <c r="P169" i="6" s="1"/>
  <c r="P170" i="6" s="1"/>
  <c r="S155" i="6"/>
  <c r="S156" i="6" s="1"/>
  <c r="Y154" i="6"/>
  <c r="Z154" i="6" s="1"/>
  <c r="S208" i="6"/>
  <c r="S185" i="6"/>
  <c r="G180" i="6"/>
  <c r="S166" i="6"/>
  <c r="T118" i="6"/>
  <c r="E214" i="6"/>
  <c r="C110" i="6" l="1"/>
  <c r="P174" i="6"/>
  <c r="AC209" i="6"/>
  <c r="AC186" i="6"/>
  <c r="AE90" i="6"/>
  <c r="AF89" i="6"/>
  <c r="AD92" i="6"/>
  <c r="AD152" i="6"/>
  <c r="AF113" i="6"/>
  <c r="AE115" i="6"/>
  <c r="AD142" i="6"/>
  <c r="AE103" i="6"/>
  <c r="AD104" i="6"/>
  <c r="AD117" i="6" s="1"/>
  <c r="AD119" i="6" s="1"/>
  <c r="AC187" i="6"/>
  <c r="AC168" i="6"/>
  <c r="AC210" i="6"/>
  <c r="AA154" i="6"/>
  <c r="AB154" i="6" s="1"/>
  <c r="H178" i="6"/>
  <c r="I173" i="6" s="1"/>
  <c r="I175" i="6" s="1"/>
  <c r="I177" i="6" s="1"/>
  <c r="Q143" i="6"/>
  <c r="Q158" i="6" s="1"/>
  <c r="Q169" i="6" s="1"/>
  <c r="Q170" i="6" s="1"/>
  <c r="Q174" i="6" s="1"/>
  <c r="T149" i="6"/>
  <c r="T153" i="6" s="1"/>
  <c r="H180" i="6"/>
  <c r="T185" i="6"/>
  <c r="T208" i="6"/>
  <c r="T166" i="6"/>
  <c r="U118" i="6"/>
  <c r="AD186" i="6" l="1"/>
  <c r="AD209" i="6"/>
  <c r="AF90" i="6"/>
  <c r="AG89" i="6"/>
  <c r="AE92" i="6"/>
  <c r="AE152" i="6"/>
  <c r="Q144" i="6"/>
  <c r="R138" i="6" s="1"/>
  <c r="R141" i="6" s="1"/>
  <c r="R143" i="6" s="1"/>
  <c r="R158" i="6" s="1"/>
  <c r="R169" i="6" s="1"/>
  <c r="R170" i="6" s="1"/>
  <c r="R174" i="6" s="1"/>
  <c r="AE142" i="6"/>
  <c r="AG113" i="6"/>
  <c r="AF115" i="6"/>
  <c r="AF103" i="6"/>
  <c r="AE104" i="6"/>
  <c r="AE117" i="6" s="1"/>
  <c r="AE119" i="6" s="1"/>
  <c r="AC154" i="6"/>
  <c r="I178" i="6"/>
  <c r="J173" i="6" s="1"/>
  <c r="J175" i="6" s="1"/>
  <c r="J177" i="6" s="1"/>
  <c r="T155" i="6"/>
  <c r="T156" i="6" s="1"/>
  <c r="U149" i="6" s="1"/>
  <c r="U153" i="6" s="1"/>
  <c r="U185" i="6"/>
  <c r="U208" i="6"/>
  <c r="H188" i="6"/>
  <c r="H189" i="6" s="1"/>
  <c r="H202" i="6" s="1"/>
  <c r="H211" i="6"/>
  <c r="I180" i="6"/>
  <c r="U166" i="6"/>
  <c r="V118" i="6"/>
  <c r="F188" i="6"/>
  <c r="F211" i="6"/>
  <c r="G211" i="6"/>
  <c r="G188" i="6"/>
  <c r="AG90" i="6" l="1"/>
  <c r="AH89" i="6"/>
  <c r="AE186" i="6"/>
  <c r="AE209" i="6"/>
  <c r="AF92" i="6"/>
  <c r="AF152" i="6"/>
  <c r="AE210" i="6"/>
  <c r="AE168" i="6"/>
  <c r="AE187" i="6"/>
  <c r="AD154" i="6"/>
  <c r="AH113" i="6"/>
  <c r="AG115" i="6"/>
  <c r="AG103" i="6"/>
  <c r="AF104" i="6"/>
  <c r="AF117" i="6" s="1"/>
  <c r="AF119" i="6" s="1"/>
  <c r="AF142" i="6"/>
  <c r="AD168" i="6"/>
  <c r="AD187" i="6"/>
  <c r="AD210" i="6"/>
  <c r="J178" i="6"/>
  <c r="K173" i="6" s="1"/>
  <c r="K175" i="6" s="1"/>
  <c r="K177" i="6" s="1"/>
  <c r="R144" i="6"/>
  <c r="S138" i="6" s="1"/>
  <c r="S141" i="6" s="1"/>
  <c r="S143" i="6" s="1"/>
  <c r="S144" i="6" s="1"/>
  <c r="U155" i="6"/>
  <c r="U156" i="6" s="1"/>
  <c r="V185" i="6"/>
  <c r="V208" i="6"/>
  <c r="I188" i="6"/>
  <c r="I189" i="6" s="1"/>
  <c r="I202" i="6" s="1"/>
  <c r="I211" i="6"/>
  <c r="J180" i="6"/>
  <c r="H212" i="6"/>
  <c r="H213" i="6"/>
  <c r="V166" i="6"/>
  <c r="W118" i="6"/>
  <c r="F189" i="6"/>
  <c r="F202" i="6" s="1"/>
  <c r="F213" i="6"/>
  <c r="F212" i="6"/>
  <c r="G189" i="6"/>
  <c r="G202" i="6" s="1"/>
  <c r="G213" i="6"/>
  <c r="G212" i="6"/>
  <c r="AH90" i="6" l="1"/>
  <c r="AI89" i="6"/>
  <c r="AF186" i="6"/>
  <c r="AF209" i="6"/>
  <c r="AG92" i="6"/>
  <c r="AG152" i="6"/>
  <c r="AE154" i="6"/>
  <c r="AF168" i="6"/>
  <c r="AF210" i="6"/>
  <c r="AF187" i="6"/>
  <c r="AH103" i="6"/>
  <c r="AG104" i="6"/>
  <c r="AG117" i="6" s="1"/>
  <c r="AG119" i="6" s="1"/>
  <c r="AG142" i="6"/>
  <c r="AI113" i="6"/>
  <c r="AH115" i="6"/>
  <c r="K178" i="6"/>
  <c r="L173" i="6" s="1"/>
  <c r="L175" i="6" s="1"/>
  <c r="L177" i="6" s="1"/>
  <c r="T138" i="6"/>
  <c r="T141" i="6" s="1"/>
  <c r="S158" i="6"/>
  <c r="S169" i="6" s="1"/>
  <c r="S170" i="6" s="1"/>
  <c r="S174" i="6" s="1"/>
  <c r="V149" i="6"/>
  <c r="V153" i="6" s="1"/>
  <c r="H214" i="6"/>
  <c r="W185" i="6"/>
  <c r="W208" i="6"/>
  <c r="I212" i="6"/>
  <c r="I213" i="6"/>
  <c r="K180" i="6"/>
  <c r="J188" i="6"/>
  <c r="J189" i="6" s="1"/>
  <c r="J202" i="6" s="1"/>
  <c r="J211" i="6"/>
  <c r="W166" i="6"/>
  <c r="X118" i="6"/>
  <c r="F214" i="6"/>
  <c r="G214" i="6"/>
  <c r="AG209" i="6" l="1"/>
  <c r="AG186" i="6"/>
  <c r="AI90" i="6"/>
  <c r="AJ89" i="6"/>
  <c r="AH92" i="6"/>
  <c r="AH152" i="6"/>
  <c r="AI103" i="6"/>
  <c r="AH104" i="6"/>
  <c r="AH117" i="6" s="1"/>
  <c r="AH119" i="6" s="1"/>
  <c r="AJ113" i="6"/>
  <c r="AI115" i="6"/>
  <c r="AH142" i="6"/>
  <c r="AF154" i="6"/>
  <c r="L178" i="6"/>
  <c r="M173" i="6" s="1"/>
  <c r="M175" i="6" s="1"/>
  <c r="M177" i="6" s="1"/>
  <c r="T143" i="6"/>
  <c r="T144" i="6" s="1"/>
  <c r="V155" i="6"/>
  <c r="V156" i="6" s="1"/>
  <c r="I214" i="6"/>
  <c r="L180" i="6"/>
  <c r="X185" i="6"/>
  <c r="X208" i="6"/>
  <c r="K188" i="6"/>
  <c r="K189" i="6" s="1"/>
  <c r="K202" i="6" s="1"/>
  <c r="K211" i="6"/>
  <c r="J212" i="6"/>
  <c r="J213" i="6"/>
  <c r="X166" i="6"/>
  <c r="Y118" i="6"/>
  <c r="AH186" i="6" l="1"/>
  <c r="AH209" i="6"/>
  <c r="AJ90" i="6"/>
  <c r="AK89" i="6"/>
  <c r="AI92" i="6"/>
  <c r="AI152" i="6"/>
  <c r="AK113" i="6"/>
  <c r="AJ115" i="6"/>
  <c r="AG154" i="6"/>
  <c r="Z208" i="6"/>
  <c r="Z185" i="6"/>
  <c r="Z166" i="6"/>
  <c r="Z118" i="6"/>
  <c r="AH187" i="6"/>
  <c r="AH210" i="6"/>
  <c r="AH168" i="6"/>
  <c r="AI142" i="6"/>
  <c r="AJ103" i="6"/>
  <c r="AI104" i="6"/>
  <c r="AI117" i="6" s="1"/>
  <c r="AI119" i="6" s="1"/>
  <c r="AG168" i="6"/>
  <c r="AG187" i="6"/>
  <c r="AG210" i="6"/>
  <c r="M178" i="6"/>
  <c r="N173" i="6" s="1"/>
  <c r="N175" i="6" s="1"/>
  <c r="N177" i="6" s="1"/>
  <c r="U138" i="6"/>
  <c r="U141" i="6" s="1"/>
  <c r="T158" i="6"/>
  <c r="T169" i="6" s="1"/>
  <c r="T170" i="6" s="1"/>
  <c r="T174" i="6" s="1"/>
  <c r="W149" i="6"/>
  <c r="W153" i="6" s="1"/>
  <c r="K213" i="6"/>
  <c r="K212" i="6"/>
  <c r="L188" i="6"/>
  <c r="L189" i="6" s="1"/>
  <c r="L202" i="6" s="1"/>
  <c r="L211" i="6"/>
  <c r="M180" i="6"/>
  <c r="J214" i="6"/>
  <c r="Y185" i="6"/>
  <c r="Y208" i="6"/>
  <c r="Y166" i="6"/>
  <c r="AI186" i="6" l="1"/>
  <c r="AI209" i="6"/>
  <c r="AK90" i="6"/>
  <c r="AL89" i="6"/>
  <c r="AJ92" i="6"/>
  <c r="AJ152" i="6"/>
  <c r="AL113" i="6"/>
  <c r="AK115" i="6"/>
  <c r="AH154" i="6"/>
  <c r="AK103" i="6"/>
  <c r="AJ104" i="6"/>
  <c r="AJ117" i="6" s="1"/>
  <c r="AJ119" i="6" s="1"/>
  <c r="AA208" i="6"/>
  <c r="AA166" i="6"/>
  <c r="AA185" i="6"/>
  <c r="AA118" i="6"/>
  <c r="AJ142" i="6"/>
  <c r="N178" i="6"/>
  <c r="O173" i="6" s="1"/>
  <c r="O175" i="6" s="1"/>
  <c r="O178" i="6" s="1"/>
  <c r="P173" i="6" s="1"/>
  <c r="P175" i="6" s="1"/>
  <c r="U143" i="6"/>
  <c r="U158" i="6" s="1"/>
  <c r="U169" i="6" s="1"/>
  <c r="U170" i="6" s="1"/>
  <c r="U174" i="6" s="1"/>
  <c r="W155" i="6"/>
  <c r="W156" i="6" s="1"/>
  <c r="X149" i="6" s="1"/>
  <c r="X153" i="6" s="1"/>
  <c r="M188" i="6"/>
  <c r="M189" i="6" s="1"/>
  <c r="M202" i="6" s="1"/>
  <c r="M211" i="6"/>
  <c r="K214" i="6"/>
  <c r="N180" i="6"/>
  <c r="L212" i="6"/>
  <c r="L213" i="6"/>
  <c r="AJ209" i="6" l="1"/>
  <c r="AJ186" i="6"/>
  <c r="AL90" i="6"/>
  <c r="AM89" i="6"/>
  <c r="C151" i="6" s="1"/>
  <c r="AK92" i="6"/>
  <c r="AK152" i="6"/>
  <c r="AM113" i="6"/>
  <c r="AM115" i="6" s="1"/>
  <c r="AL115" i="6"/>
  <c r="AJ168" i="6"/>
  <c r="AJ187" i="6"/>
  <c r="AJ210" i="6"/>
  <c r="AK142" i="6"/>
  <c r="AL103" i="6"/>
  <c r="AK104" i="6"/>
  <c r="AK117" i="6" s="1"/>
  <c r="AK119" i="6" s="1"/>
  <c r="AI154" i="6"/>
  <c r="AB166" i="6"/>
  <c r="AB118" i="6"/>
  <c r="AB208" i="6"/>
  <c r="AB185" i="6"/>
  <c r="AI187" i="6"/>
  <c r="AI168" i="6"/>
  <c r="AI210" i="6"/>
  <c r="O177" i="6"/>
  <c r="O180" i="6" s="1"/>
  <c r="P177" i="6"/>
  <c r="P178" i="6"/>
  <c r="Q173" i="6" s="1"/>
  <c r="Q175" i="6" s="1"/>
  <c r="U144" i="6"/>
  <c r="V138" i="6" s="1"/>
  <c r="V141" i="6" s="1"/>
  <c r="V143" i="6" s="1"/>
  <c r="X155" i="6"/>
  <c r="X156" i="6" s="1"/>
  <c r="L214" i="6"/>
  <c r="M212" i="6"/>
  <c r="M213" i="6"/>
  <c r="N188" i="6"/>
  <c r="N189" i="6" s="1"/>
  <c r="N202" i="6" s="1"/>
  <c r="N211" i="6"/>
  <c r="AK186" i="6" l="1"/>
  <c r="AK209" i="6"/>
  <c r="AM90" i="6"/>
  <c r="C89" i="6"/>
  <c r="AL92" i="6"/>
  <c r="AL152" i="6"/>
  <c r="AM103" i="6"/>
  <c r="AM104" i="6" s="1"/>
  <c r="AM117" i="6" s="1"/>
  <c r="AL104" i="6"/>
  <c r="AL117" i="6" s="1"/>
  <c r="AL119" i="6" s="1"/>
  <c r="AC208" i="6"/>
  <c r="AC166" i="6"/>
  <c r="AC185" i="6"/>
  <c r="AC118" i="6"/>
  <c r="AL142" i="6"/>
  <c r="AJ154" i="6"/>
  <c r="AK187" i="6"/>
  <c r="AK168" i="6"/>
  <c r="AK210" i="6"/>
  <c r="C115" i="6"/>
  <c r="Q177" i="6"/>
  <c r="Q178" i="6"/>
  <c r="R173" i="6" s="1"/>
  <c r="R175" i="6" s="1"/>
  <c r="V158" i="6"/>
  <c r="V169" i="6" s="1"/>
  <c r="V170" i="6" s="1"/>
  <c r="V174" i="6" s="1"/>
  <c r="V144" i="6"/>
  <c r="W138" i="6" s="1"/>
  <c r="W141" i="6" s="1"/>
  <c r="W143" i="6" s="1"/>
  <c r="W158" i="6" s="1"/>
  <c r="W169" i="6" s="1"/>
  <c r="W170" i="6" s="1"/>
  <c r="W174" i="6" s="1"/>
  <c r="Y149" i="6"/>
  <c r="Y153" i="6" s="1"/>
  <c r="M214" i="6"/>
  <c r="P180" i="6"/>
  <c r="N212" i="6"/>
  <c r="N213" i="6"/>
  <c r="O211" i="6"/>
  <c r="O188" i="6"/>
  <c r="O189" i="6" s="1"/>
  <c r="O202" i="6" s="1"/>
  <c r="AM92" i="6" l="1"/>
  <c r="AM152" i="6"/>
  <c r="C152" i="6" s="1"/>
  <c r="C90" i="6"/>
  <c r="AL209" i="6"/>
  <c r="AL186" i="6"/>
  <c r="C104" i="6"/>
  <c r="AL187" i="6"/>
  <c r="AL210" i="6"/>
  <c r="AL168" i="6"/>
  <c r="AK154" i="6"/>
  <c r="AM142" i="6"/>
  <c r="AD118" i="6"/>
  <c r="AD166" i="6"/>
  <c r="AD185" i="6"/>
  <c r="AD208" i="6"/>
  <c r="R177" i="6"/>
  <c r="R178" i="6"/>
  <c r="S173" i="6" s="1"/>
  <c r="S175" i="6" s="1"/>
  <c r="W144" i="6"/>
  <c r="X138" i="6" s="1"/>
  <c r="X141" i="6" s="1"/>
  <c r="X143" i="6" s="1"/>
  <c r="X144" i="6" s="1"/>
  <c r="Y155" i="6"/>
  <c r="Y156" i="6" s="1"/>
  <c r="Z149" i="6" s="1"/>
  <c r="Z153" i="6" s="1"/>
  <c r="N214" i="6"/>
  <c r="Q180" i="6"/>
  <c r="P188" i="6"/>
  <c r="P189" i="6" s="1"/>
  <c r="P202" i="6" s="1"/>
  <c r="P211" i="6"/>
  <c r="O212" i="6"/>
  <c r="O213" i="6"/>
  <c r="C92" i="6" l="1"/>
  <c r="AM209" i="6"/>
  <c r="AM186" i="6"/>
  <c r="AE166" i="6"/>
  <c r="AE208" i="6"/>
  <c r="AE185" i="6"/>
  <c r="AE118" i="6"/>
  <c r="Z155" i="6"/>
  <c r="Z156" i="6" s="1"/>
  <c r="AA149" i="6" s="1"/>
  <c r="AA153" i="6" s="1"/>
  <c r="AL154" i="6"/>
  <c r="S177" i="6"/>
  <c r="S178" i="6"/>
  <c r="T173" i="6" s="1"/>
  <c r="T175" i="6" s="1"/>
  <c r="Y138" i="6"/>
  <c r="Y141" i="6" s="1"/>
  <c r="X158" i="6"/>
  <c r="X169" i="6" s="1"/>
  <c r="X170" i="6" s="1"/>
  <c r="X174" i="6" s="1"/>
  <c r="R180" i="6"/>
  <c r="P212" i="6"/>
  <c r="P213" i="6"/>
  <c r="Q188" i="6"/>
  <c r="Q189" i="6" s="1"/>
  <c r="Q202" i="6" s="1"/>
  <c r="Q211" i="6"/>
  <c r="O214" i="6"/>
  <c r="AA155" i="6" l="1"/>
  <c r="AA156" i="6" s="1"/>
  <c r="AB149" i="6" s="1"/>
  <c r="AB153" i="6" s="1"/>
  <c r="AM187" i="6"/>
  <c r="C187" i="6" s="1"/>
  <c r="C9" i="6" s="1"/>
  <c r="AM168" i="6"/>
  <c r="C168" i="6" s="1"/>
  <c r="AM210" i="6"/>
  <c r="C210" i="6" s="1"/>
  <c r="C117" i="6"/>
  <c r="AF208" i="6"/>
  <c r="AF166" i="6"/>
  <c r="AF118" i="6"/>
  <c r="AF185" i="6"/>
  <c r="AM154" i="6"/>
  <c r="T177" i="6"/>
  <c r="T178" i="6"/>
  <c r="U173" i="6" s="1"/>
  <c r="U175" i="6" s="1"/>
  <c r="Y143" i="6"/>
  <c r="Y144" i="6" s="1"/>
  <c r="Z138" i="6" s="1"/>
  <c r="Z141" i="6" s="1"/>
  <c r="S180" i="6"/>
  <c r="P214" i="6"/>
  <c r="Q212" i="6"/>
  <c r="Q213" i="6"/>
  <c r="R188" i="6"/>
  <c r="R189" i="6" s="1"/>
  <c r="R202" i="6" s="1"/>
  <c r="R211" i="6"/>
  <c r="AG208" i="6" l="1"/>
  <c r="AG185" i="6"/>
  <c r="AG118" i="6"/>
  <c r="AG166" i="6"/>
  <c r="Z143" i="6"/>
  <c r="Z158" i="6" s="1"/>
  <c r="Z169" i="6" s="1"/>
  <c r="Z170" i="6" s="1"/>
  <c r="Z174" i="6" s="1"/>
  <c r="AB155" i="6"/>
  <c r="AB156" i="6" s="1"/>
  <c r="AC149" i="6" s="1"/>
  <c r="U177" i="6"/>
  <c r="U178" i="6"/>
  <c r="V173" i="6" s="1"/>
  <c r="V175" i="6" s="1"/>
  <c r="Y158" i="6"/>
  <c r="Y169" i="6" s="1"/>
  <c r="Y170" i="6" s="1"/>
  <c r="Y174" i="6" s="1"/>
  <c r="T180" i="6"/>
  <c r="Q214" i="6"/>
  <c r="R212" i="6"/>
  <c r="R213" i="6"/>
  <c r="S211" i="6"/>
  <c r="S188" i="6"/>
  <c r="AC153" i="6" l="1"/>
  <c r="AC155" i="6" s="1"/>
  <c r="AC156" i="6" s="1"/>
  <c r="AD149" i="6" s="1"/>
  <c r="Z144" i="6"/>
  <c r="AA138" i="6" s="1"/>
  <c r="AA141" i="6" s="1"/>
  <c r="AA143" i="6" s="1"/>
  <c r="AA158" i="6" s="1"/>
  <c r="AA169" i="6" s="1"/>
  <c r="AA170" i="6" s="1"/>
  <c r="AA174" i="6" s="1"/>
  <c r="AH166" i="6"/>
  <c r="AH118" i="6"/>
  <c r="AH185" i="6"/>
  <c r="AH208" i="6"/>
  <c r="V177" i="6"/>
  <c r="V178" i="6"/>
  <c r="W173" i="6" s="1"/>
  <c r="W175" i="6" s="1"/>
  <c r="R214" i="6"/>
  <c r="U180" i="6"/>
  <c r="S212" i="6"/>
  <c r="S213" i="6"/>
  <c r="T188" i="6"/>
  <c r="T189" i="6" s="1"/>
  <c r="T202" i="6" s="1"/>
  <c r="T211" i="6"/>
  <c r="S189" i="6"/>
  <c r="S202" i="6" s="1"/>
  <c r="AD153" i="6" l="1"/>
  <c r="AD155" i="6" s="1"/>
  <c r="AD156" i="6" s="1"/>
  <c r="AE149" i="6" s="1"/>
  <c r="AI208" i="6"/>
  <c r="AI166" i="6"/>
  <c r="AI185" i="6"/>
  <c r="AI118" i="6"/>
  <c r="AA144" i="6"/>
  <c r="AB138" i="6" s="1"/>
  <c r="AB141" i="6" s="1"/>
  <c r="W177" i="6"/>
  <c r="W178" i="6"/>
  <c r="X173" i="6" s="1"/>
  <c r="X175" i="6" s="1"/>
  <c r="S214" i="6"/>
  <c r="V180" i="6"/>
  <c r="T212" i="6"/>
  <c r="T213" i="6"/>
  <c r="U188" i="6"/>
  <c r="U189" i="6" s="1"/>
  <c r="U202" i="6" s="1"/>
  <c r="U211" i="6"/>
  <c r="AE153" i="6" l="1"/>
  <c r="AE155" i="6" s="1"/>
  <c r="AE156" i="6" s="1"/>
  <c r="AF149" i="6" s="1"/>
  <c r="AJ185" i="6"/>
  <c r="AJ208" i="6"/>
  <c r="AJ118" i="6"/>
  <c r="AJ166" i="6"/>
  <c r="AB143" i="6"/>
  <c r="AB158" i="6" s="1"/>
  <c r="AB169" i="6" s="1"/>
  <c r="AB170" i="6" s="1"/>
  <c r="AB174" i="6" s="1"/>
  <c r="X177" i="6"/>
  <c r="X178" i="6"/>
  <c r="Y173" i="6" s="1"/>
  <c r="Y175" i="6" s="1"/>
  <c r="W180" i="6"/>
  <c r="T214" i="6"/>
  <c r="U212" i="6"/>
  <c r="U213" i="6"/>
  <c r="V188" i="6"/>
  <c r="V189" i="6" s="1"/>
  <c r="V202" i="6" s="1"/>
  <c r="V211" i="6"/>
  <c r="AF153" i="6" l="1"/>
  <c r="AF155" i="6" s="1"/>
  <c r="AF156" i="6" s="1"/>
  <c r="AG149" i="6" s="1"/>
  <c r="AK118" i="6"/>
  <c r="AK166" i="6"/>
  <c r="AK185" i="6"/>
  <c r="AK208" i="6"/>
  <c r="AB144" i="6"/>
  <c r="AC138" i="6" s="1"/>
  <c r="AC141" i="6" s="1"/>
  <c r="Y177" i="6"/>
  <c r="Y178" i="6"/>
  <c r="Z173" i="6" s="1"/>
  <c r="Z175" i="6" s="1"/>
  <c r="X180" i="6"/>
  <c r="U214" i="6"/>
  <c r="W211" i="6"/>
  <c r="W188" i="6"/>
  <c r="W189" i="6" s="1"/>
  <c r="W202" i="6" s="1"/>
  <c r="V212" i="6"/>
  <c r="V213" i="6"/>
  <c r="AG153" i="6" l="1"/>
  <c r="AG155" i="6" s="1"/>
  <c r="AG156" i="6" s="1"/>
  <c r="AH149" i="6" s="1"/>
  <c r="AC143" i="6"/>
  <c r="AC158" i="6" s="1"/>
  <c r="AC169" i="6" s="1"/>
  <c r="AC170" i="6" s="1"/>
  <c r="AC174" i="6" s="1"/>
  <c r="Z177" i="6"/>
  <c r="Z180" i="6" s="1"/>
  <c r="Z178" i="6"/>
  <c r="AA173" i="6" s="1"/>
  <c r="AA175" i="6" s="1"/>
  <c r="AM208" i="6"/>
  <c r="AM118" i="6"/>
  <c r="AM166" i="6"/>
  <c r="AM185" i="6"/>
  <c r="C63" i="6"/>
  <c r="AL118" i="6"/>
  <c r="AL166" i="6"/>
  <c r="AL185" i="6"/>
  <c r="AL208" i="6"/>
  <c r="V214" i="6"/>
  <c r="Y180" i="6"/>
  <c r="W212" i="6"/>
  <c r="W213" i="6"/>
  <c r="X188" i="6"/>
  <c r="X211" i="6"/>
  <c r="C119" i="6" l="1"/>
  <c r="C62" i="6"/>
  <c r="C5" i="6" s="1"/>
  <c r="AH153" i="6"/>
  <c r="AH155" i="6" s="1"/>
  <c r="AH156" i="6" s="1"/>
  <c r="AI149" i="6" s="1"/>
  <c r="C208" i="6"/>
  <c r="C185" i="6"/>
  <c r="C7" i="6" s="1"/>
  <c r="C166" i="6"/>
  <c r="AA178" i="6"/>
  <c r="AB173" i="6" s="1"/>
  <c r="AB175" i="6" s="1"/>
  <c r="AA177" i="6"/>
  <c r="AA180" i="6" s="1"/>
  <c r="Z211" i="6"/>
  <c r="Z188" i="6"/>
  <c r="Z189" i="6" s="1"/>
  <c r="Z202" i="6" s="1"/>
  <c r="AC144" i="6"/>
  <c r="AD138" i="6" s="1"/>
  <c r="AD141" i="6" s="1"/>
  <c r="C118" i="6"/>
  <c r="X189" i="6"/>
  <c r="X202" i="6" s="1"/>
  <c r="W214" i="6"/>
  <c r="X212" i="6"/>
  <c r="X213" i="6"/>
  <c r="Y188" i="6"/>
  <c r="Y189" i="6" s="1"/>
  <c r="Y202" i="6" s="1"/>
  <c r="Y211" i="6"/>
  <c r="AI153" i="6" l="1"/>
  <c r="AI155" i="6" s="1"/>
  <c r="AD143" i="6"/>
  <c r="AD158" i="6" s="1"/>
  <c r="AD169" i="6" s="1"/>
  <c r="AD170" i="6" s="1"/>
  <c r="AD174" i="6" s="1"/>
  <c r="Z213" i="6"/>
  <c r="Z212" i="6"/>
  <c r="AA211" i="6"/>
  <c r="AA188" i="6"/>
  <c r="AA189" i="6" s="1"/>
  <c r="AA202" i="6" s="1"/>
  <c r="AB177" i="6"/>
  <c r="AB180" i="6" s="1"/>
  <c r="AB178" i="6"/>
  <c r="AC173" i="6" s="1"/>
  <c r="AC175" i="6" s="1"/>
  <c r="X214" i="6"/>
  <c r="Y212" i="6"/>
  <c r="Y213" i="6"/>
  <c r="AI156" i="6" l="1"/>
  <c r="AJ149" i="6" s="1"/>
  <c r="Z214" i="6"/>
  <c r="AC177" i="6"/>
  <c r="AC180" i="6" s="1"/>
  <c r="AC178" i="6"/>
  <c r="AD173" i="6" s="1"/>
  <c r="AD175" i="6" s="1"/>
  <c r="AB188" i="6"/>
  <c r="AB189" i="6" s="1"/>
  <c r="AB202" i="6" s="1"/>
  <c r="AB211" i="6"/>
  <c r="AA213" i="6"/>
  <c r="AA212" i="6"/>
  <c r="AD144" i="6"/>
  <c r="AE138" i="6" s="1"/>
  <c r="AE141" i="6" s="1"/>
  <c r="Y214" i="6"/>
  <c r="AJ153" i="6" l="1"/>
  <c r="AJ155" i="6" s="1"/>
  <c r="AA214" i="6"/>
  <c r="AE143" i="6"/>
  <c r="AE158" i="6" s="1"/>
  <c r="AE169" i="6" s="1"/>
  <c r="AE170" i="6" s="1"/>
  <c r="AE174" i="6" s="1"/>
  <c r="AB213" i="6"/>
  <c r="AB212" i="6"/>
  <c r="AD177" i="6"/>
  <c r="AD180" i="6" s="1"/>
  <c r="AD178" i="6"/>
  <c r="AE173" i="6" s="1"/>
  <c r="AC211" i="6"/>
  <c r="AC188" i="6"/>
  <c r="AC189" i="6" s="1"/>
  <c r="AC202" i="6" s="1"/>
  <c r="D186" i="6"/>
  <c r="AE175" i="6" l="1"/>
  <c r="AE178" i="6" s="1"/>
  <c r="AF173" i="6" s="1"/>
  <c r="AJ156" i="6"/>
  <c r="AK149" i="6" s="1"/>
  <c r="AK153" i="6" s="1"/>
  <c r="AK155" i="6" s="1"/>
  <c r="AK156" i="6" s="1"/>
  <c r="AL149" i="6" s="1"/>
  <c r="AL153" i="6" s="1"/>
  <c r="AL155" i="6" s="1"/>
  <c r="AL156" i="6" s="1"/>
  <c r="AM149" i="6" s="1"/>
  <c r="AM153" i="6" s="1"/>
  <c r="AM155" i="6" s="1"/>
  <c r="AM156" i="6" s="1"/>
  <c r="AB214" i="6"/>
  <c r="D189" i="6"/>
  <c r="D202" i="6" s="1"/>
  <c r="C186" i="6"/>
  <c r="C8" i="6" s="1"/>
  <c r="AC212" i="6"/>
  <c r="AC213" i="6"/>
  <c r="AD188" i="6"/>
  <c r="AD189" i="6" s="1"/>
  <c r="AD202" i="6" s="1"/>
  <c r="AD211" i="6"/>
  <c r="AE144" i="6"/>
  <c r="AF138" i="6" s="1"/>
  <c r="AF141" i="6" s="1"/>
  <c r="D209" i="6"/>
  <c r="C209" i="6" s="1"/>
  <c r="AE177" i="6" l="1"/>
  <c r="AE180" i="6" s="1"/>
  <c r="C155" i="6"/>
  <c r="D191" i="6"/>
  <c r="E191" i="6" s="1"/>
  <c r="F191" i="6" s="1"/>
  <c r="G191" i="6" s="1"/>
  <c r="H191" i="6" s="1"/>
  <c r="I191" i="6" s="1"/>
  <c r="J191" i="6" s="1"/>
  <c r="K191" i="6" s="1"/>
  <c r="L191" i="6" s="1"/>
  <c r="M191" i="6" s="1"/>
  <c r="N191" i="6" s="1"/>
  <c r="O191" i="6" s="1"/>
  <c r="P191" i="6" s="1"/>
  <c r="Q191" i="6" s="1"/>
  <c r="R191" i="6" s="1"/>
  <c r="S191" i="6" s="1"/>
  <c r="T191" i="6" s="1"/>
  <c r="U191" i="6" s="1"/>
  <c r="V191" i="6" s="1"/>
  <c r="W191" i="6" s="1"/>
  <c r="X191" i="6" s="1"/>
  <c r="Y191" i="6" s="1"/>
  <c r="Z191" i="6" s="1"/>
  <c r="AA191" i="6" s="1"/>
  <c r="AB191" i="6" s="1"/>
  <c r="AC191" i="6" s="1"/>
  <c r="AD191" i="6" s="1"/>
  <c r="AF143" i="6"/>
  <c r="AF158" i="6" s="1"/>
  <c r="AF169" i="6" s="1"/>
  <c r="AF170" i="6" s="1"/>
  <c r="AF174" i="6" s="1"/>
  <c r="AF175" i="6" s="1"/>
  <c r="AD213" i="6"/>
  <c r="AD212" i="6"/>
  <c r="AE211" i="6"/>
  <c r="AE188" i="6"/>
  <c r="AE189" i="6" s="1"/>
  <c r="AE202" i="6" s="1"/>
  <c r="AC214" i="6"/>
  <c r="D212" i="6"/>
  <c r="D213" i="6"/>
  <c r="D203" i="6"/>
  <c r="E203" i="6" s="1"/>
  <c r="F203" i="6" s="1"/>
  <c r="G203" i="6" s="1"/>
  <c r="H203" i="6" s="1"/>
  <c r="I203" i="6" s="1"/>
  <c r="J203" i="6" s="1"/>
  <c r="K203" i="6" s="1"/>
  <c r="L203" i="6" s="1"/>
  <c r="M203" i="6" s="1"/>
  <c r="N203" i="6" s="1"/>
  <c r="O203" i="6" s="1"/>
  <c r="P203" i="6" s="1"/>
  <c r="Q203" i="6" s="1"/>
  <c r="R203" i="6" s="1"/>
  <c r="S203" i="6" s="1"/>
  <c r="T203" i="6" s="1"/>
  <c r="U203" i="6" s="1"/>
  <c r="V203" i="6" s="1"/>
  <c r="W203" i="6" s="1"/>
  <c r="X203" i="6" s="1"/>
  <c r="Y203" i="6" s="1"/>
  <c r="Z203" i="6" s="1"/>
  <c r="AA203" i="6" s="1"/>
  <c r="AB203" i="6" s="1"/>
  <c r="AC203" i="6" s="1"/>
  <c r="AD203" i="6" s="1"/>
  <c r="AD214" i="6" l="1"/>
  <c r="AE203" i="6"/>
  <c r="AF178" i="6"/>
  <c r="AG173" i="6" s="1"/>
  <c r="AF177" i="6"/>
  <c r="AF180" i="6" s="1"/>
  <c r="AE213" i="6"/>
  <c r="AE212" i="6"/>
  <c r="AF144" i="6"/>
  <c r="AG138" i="6" s="1"/>
  <c r="AG141" i="6" s="1"/>
  <c r="AE191" i="6"/>
  <c r="D214" i="6"/>
  <c r="AE214" i="6" l="1"/>
  <c r="AG143" i="6"/>
  <c r="AG158" i="6" s="1"/>
  <c r="AG169" i="6" s="1"/>
  <c r="AG170" i="6" s="1"/>
  <c r="AG174" i="6" s="1"/>
  <c r="AG175" i="6" s="1"/>
  <c r="AF211" i="6"/>
  <c r="AF188" i="6"/>
  <c r="AF189" i="6" s="1"/>
  <c r="AF202" i="6" s="1"/>
  <c r="AF203" i="6" l="1"/>
  <c r="AG178" i="6"/>
  <c r="AH173" i="6" s="1"/>
  <c r="AG177" i="6"/>
  <c r="AG180" i="6" s="1"/>
  <c r="AF213" i="6"/>
  <c r="AF212" i="6"/>
  <c r="AG144" i="6"/>
  <c r="AH138" i="6" s="1"/>
  <c r="AH141" i="6" s="1"/>
  <c r="AF191" i="6"/>
  <c r="AF214" i="6" l="1"/>
  <c r="AH143" i="6"/>
  <c r="AG188" i="6"/>
  <c r="AG189" i="6" s="1"/>
  <c r="AG202" i="6" s="1"/>
  <c r="AG211" i="6"/>
  <c r="AG203" i="6" l="1"/>
  <c r="AG212" i="6"/>
  <c r="AG213" i="6"/>
  <c r="AH158" i="6"/>
  <c r="AH169" i="6" s="1"/>
  <c r="AH144" i="6"/>
  <c r="AI138" i="6" s="1"/>
  <c r="AI141" i="6" s="1"/>
  <c r="AG191" i="6"/>
  <c r="AI143" i="6" l="1"/>
  <c r="AH170" i="6"/>
  <c r="AG214" i="6"/>
  <c r="AH174" i="6" l="1"/>
  <c r="AH175" i="6" s="1"/>
  <c r="AI158" i="6"/>
  <c r="AI169" i="6" s="1"/>
  <c r="AI144" i="6"/>
  <c r="AJ138" i="6" s="1"/>
  <c r="AJ141" i="6" s="1"/>
  <c r="AJ143" i="6" l="1"/>
  <c r="AI170" i="6"/>
  <c r="AH177" i="6"/>
  <c r="AH178" i="6"/>
  <c r="AI173" i="6" s="1"/>
  <c r="AH180" i="6" l="1"/>
  <c r="AI174" i="6"/>
  <c r="AI175" i="6" s="1"/>
  <c r="AJ158" i="6"/>
  <c r="AJ169" i="6" s="1"/>
  <c r="AJ144" i="6"/>
  <c r="AK138" i="6" s="1"/>
  <c r="AK141" i="6" s="1"/>
  <c r="AI178" i="6" l="1"/>
  <c r="AJ173" i="6" s="1"/>
  <c r="AI177" i="6"/>
  <c r="AK143" i="6"/>
  <c r="AJ170" i="6"/>
  <c r="AH211" i="6"/>
  <c r="AH188" i="6"/>
  <c r="AH189" i="6" l="1"/>
  <c r="AH202" i="6" s="1"/>
  <c r="AH212" i="6"/>
  <c r="AH213" i="6"/>
  <c r="AJ174" i="6"/>
  <c r="AJ175" i="6" s="1"/>
  <c r="AK158" i="6"/>
  <c r="AK169" i="6" s="1"/>
  <c r="AK144" i="6"/>
  <c r="AL138" i="6" s="1"/>
  <c r="AL141" i="6" s="1"/>
  <c r="AI180" i="6"/>
  <c r="AH214" i="6" l="1"/>
  <c r="AL143" i="6"/>
  <c r="AI188" i="6"/>
  <c r="AI211" i="6"/>
  <c r="AK170" i="6"/>
  <c r="AJ177" i="6"/>
  <c r="AJ178" i="6"/>
  <c r="AK173" i="6" s="1"/>
  <c r="AH191" i="6"/>
  <c r="AJ180" i="6" l="1"/>
  <c r="AH203" i="6"/>
  <c r="AK174" i="6"/>
  <c r="AK175" i="6" s="1"/>
  <c r="AI212" i="6"/>
  <c r="AI213" i="6"/>
  <c r="AI189" i="6"/>
  <c r="AI202" i="6" s="1"/>
  <c r="AL158" i="6"/>
  <c r="AL169" i="6" s="1"/>
  <c r="AL144" i="6"/>
  <c r="AM138" i="6" s="1"/>
  <c r="AM141" i="6" s="1"/>
  <c r="AK177" i="6" l="1"/>
  <c r="AK178" i="6"/>
  <c r="AL173" i="6" s="1"/>
  <c r="AI191" i="6"/>
  <c r="AM143" i="6"/>
  <c r="AI214" i="6"/>
  <c r="AL170" i="6"/>
  <c r="AJ188" i="6"/>
  <c r="AJ211" i="6"/>
  <c r="AJ189" i="6" l="1"/>
  <c r="AL174" i="6"/>
  <c r="AL175" i="6" s="1"/>
  <c r="AM158" i="6"/>
  <c r="C143" i="6"/>
  <c r="AM144" i="6"/>
  <c r="AI203" i="6"/>
  <c r="AJ212" i="6"/>
  <c r="AJ213" i="6"/>
  <c r="AK180" i="6"/>
  <c r="AJ191" i="6" l="1"/>
  <c r="AJ202" i="6"/>
  <c r="AM169" i="6"/>
  <c r="C158" i="6"/>
  <c r="AL177" i="6"/>
  <c r="AL178" i="6"/>
  <c r="AM173" i="6" s="1"/>
  <c r="AM170" i="6"/>
  <c r="C170" i="6" s="1"/>
  <c r="C169" i="6"/>
  <c r="AK211" i="6"/>
  <c r="AK188" i="6"/>
  <c r="AJ214" i="6"/>
  <c r="AJ203" i="6" l="1"/>
  <c r="AK189" i="6"/>
  <c r="AK202" i="6" s="1"/>
  <c r="AK212" i="6"/>
  <c r="AK213" i="6"/>
  <c r="AM174" i="6"/>
  <c r="AM175" i="6" s="1"/>
  <c r="AL180" i="6"/>
  <c r="AM177" i="6" l="1"/>
  <c r="AM178" i="6"/>
  <c r="AL211" i="6"/>
  <c r="AL188" i="6"/>
  <c r="AK214" i="6"/>
  <c r="AK191" i="6"/>
  <c r="AK203" i="6" l="1"/>
  <c r="AL189" i="6"/>
  <c r="AL202" i="6" s="1"/>
  <c r="AL212" i="6"/>
  <c r="AL213" i="6"/>
  <c r="AM180" i="6"/>
  <c r="C177" i="6"/>
  <c r="AM188" i="6" l="1"/>
  <c r="AM211" i="6"/>
  <c r="C211" i="6" s="1"/>
  <c r="C180" i="6"/>
  <c r="AL214" i="6"/>
  <c r="AL191" i="6"/>
  <c r="AL203" i="6" l="1"/>
  <c r="AM212" i="6"/>
  <c r="C212" i="6" s="1"/>
  <c r="AM213" i="6"/>
  <c r="C213" i="6" s="1"/>
  <c r="AM189" i="6"/>
  <c r="C188" i="6"/>
  <c r="C10" i="6" s="1"/>
  <c r="C194" i="6" l="1"/>
  <c r="C13" i="6" s="1"/>
  <c r="AM202" i="6"/>
  <c r="C189" i="6"/>
  <c r="C11" i="6" s="1"/>
  <c r="AM214" i="6"/>
  <c r="C214" i="6" s="1"/>
  <c r="AM191" i="6"/>
  <c r="AM203" i="6" l="1"/>
  <c r="C202" i="6"/>
  <c r="C204" i="6"/>
  <c r="C14" i="6" s="1"/>
</calcChain>
</file>

<file path=xl/sharedStrings.xml><?xml version="1.0" encoding="utf-8"?>
<sst xmlns="http://schemas.openxmlformats.org/spreadsheetml/2006/main" count="211" uniqueCount="160">
  <si>
    <t>Contact</t>
  </si>
  <si>
    <t>Purpose</t>
  </si>
  <si>
    <t>Discount Rate</t>
  </si>
  <si>
    <t>Audits</t>
  </si>
  <si>
    <t>recovery</t>
  </si>
  <si>
    <t>Yet to be completed</t>
  </si>
  <si>
    <t>Total</t>
  </si>
  <si>
    <t>Explaining the Protocols - Ignore this</t>
  </si>
  <si>
    <t>This section is used to explain the spreadsheet formatting on the Introduction worksheet.</t>
  </si>
  <si>
    <t>Cashstream 2: Capital Costs</t>
  </si>
  <si>
    <t>Cashstream 3: Operating Costs</t>
  </si>
  <si>
    <t>Cashstream 4: Taxes</t>
  </si>
  <si>
    <t>less</t>
  </si>
  <si>
    <t>Discounting</t>
  </si>
  <si>
    <t>Discount Factor</t>
  </si>
  <si>
    <t>Company Income Tax  Rate</t>
  </si>
  <si>
    <t>% of assessable income</t>
  </si>
  <si>
    <t>Data for Graphs</t>
  </si>
  <si>
    <t>Cashflow if positive</t>
  </si>
  <si>
    <t>Cash Flow</t>
  </si>
  <si>
    <t>Warnings</t>
  </si>
  <si>
    <t xml:space="preserve">external peer </t>
  </si>
  <si>
    <t>% silver</t>
  </si>
  <si>
    <t>ongoing capex</t>
  </si>
  <si>
    <t>This worked example is an illustration. Assume it has not been properly audited and should be checked before being used.</t>
  </si>
  <si>
    <r>
      <rPr>
        <b/>
        <sz val="10"/>
        <color theme="1"/>
        <rFont val="Calibri"/>
        <family val="2"/>
        <scheme val="minor"/>
      </rPr>
      <t>Column B</t>
    </r>
    <r>
      <rPr>
        <sz val="10"/>
        <color theme="1"/>
        <rFont val="Calibri"/>
        <family val="2"/>
        <scheme val="minor"/>
      </rPr>
      <t xml:space="preserve"> is used for units - which are in full words and not abbreviations "millions dry tonnes" not "Mdt"</t>
    </r>
  </si>
  <si>
    <t>Cashstream 1: Revenue</t>
  </si>
  <si>
    <t>Assessable Income</t>
  </si>
  <si>
    <t>read from graph</t>
  </si>
  <si>
    <t>Peter Card</t>
  </si>
  <si>
    <t>price - campsite per night</t>
  </si>
  <si>
    <t>Months --&gt;</t>
  </si>
  <si>
    <t>land purchased</t>
  </si>
  <si>
    <t>supervisor - including maintenance, equipment &amp; stores</t>
  </si>
  <si>
    <t>general - including reception, cleaning, maintaining, and general campsite</t>
  </si>
  <si>
    <t>freight</t>
  </si>
  <si>
    <t>insurance</t>
  </si>
  <si>
    <t>Losses carried forward - opening balance</t>
  </si>
  <si>
    <t>Losses carried forward - closing balance</t>
  </si>
  <si>
    <t>% per month</t>
  </si>
  <si>
    <t>a. Capex - Start up - land purchase</t>
  </si>
  <si>
    <t>b. Capex - Start up - "Capital works"</t>
  </si>
  <si>
    <t xml:space="preserve">Tax deduction rate for "Capital Works" </t>
  </si>
  <si>
    <t>undeducted "capital works" - opening balance</t>
  </si>
  <si>
    <t>undeducted "capital works" - closing balance</t>
  </si>
  <si>
    <t>c. Capex- "Simpler Depreciation for Small Business "</t>
  </si>
  <si>
    <t>undeducted "simpler deductions for small business" - opening balance</t>
  </si>
  <si>
    <t xml:space="preserve">Tax deduction rate for "small business" </t>
  </si>
  <si>
    <t>undeducted "small business" - closing balance</t>
  </si>
  <si>
    <t>First compute: Tax Deductions for Capital Expenditure</t>
  </si>
  <si>
    <t>pool of undeducted "Capital Works"</t>
  </si>
  <si>
    <t>pool of undeducted "Simpler Depreciation for Small Business"</t>
  </si>
  <si>
    <t xml:space="preserve"> Income Tax</t>
  </si>
  <si>
    <t>Assessable income after losses carried forward</t>
  </si>
  <si>
    <t xml:space="preserve">Peter Card </t>
  </si>
  <si>
    <t xml:space="preserve">Self audit </t>
  </si>
  <si>
    <t>Understanding the colours and layout is easy!</t>
  </si>
  <si>
    <t>1. Blue = Data Inputs: -</t>
  </si>
  <si>
    <t>Blue font means this is new input data.   (Every item of fresh input data is visually and obviously exposed in a cell.  Input data is never covertly entered into an algorithm.)</t>
  </si>
  <si>
    <t>13 Aug 2025  S White,  "Sales Plan  for Copper Operations to 2035"</t>
  </si>
  <si>
    <t>The source of this data - date, person and document - is clearly visible in the row immediately above. Not as a hidden cell note.</t>
  </si>
  <si>
    <t>Pink font means that this input needs checking</t>
  </si>
  <si>
    <t>2. Green = Data from other worksheets</t>
  </si>
  <si>
    <t>Green font means this row of items is referenced across from another Worksheet in this Workbook</t>
  </si>
  <si>
    <t>To reduce errors and to speed up worksheet construction, the entire Row is referenced across.  Not just the one cell needed.</t>
  </si>
  <si>
    <t>This will ensure that if a referenced cell is in Column F in the source Worksheet then it appears in the same Column (F) in this Worksheet.  (Important discipline for checking/auditing)</t>
  </si>
  <si>
    <t>Importantly, it means that if 2028 is in column F in one worksheet then it is in column F in every other worksheet  (Reduces errors)</t>
  </si>
  <si>
    <t>3. Black = Algorithms</t>
  </si>
  <si>
    <t xml:space="preserve">&lt;-- Black font means this is an algorithm.  </t>
  </si>
  <si>
    <t>4. Italics = nominal dollars</t>
  </si>
  <si>
    <t>This website uses italics for nominal terms data and vertical font for real terms data</t>
  </si>
  <si>
    <t>Worksheet Architecture</t>
  </si>
  <si>
    <r>
      <rPr>
        <b/>
        <sz val="10"/>
        <color theme="1"/>
        <rFont val="Calibri"/>
        <family val="2"/>
        <scheme val="minor"/>
      </rPr>
      <t>Cloumn A</t>
    </r>
    <r>
      <rPr>
        <sz val="10"/>
        <color theme="1"/>
        <rFont val="Calibri"/>
        <family val="2"/>
        <scheme val="minor"/>
      </rPr>
      <t xml:space="preserve"> is used for descriptors.  It is not left blank as an indent</t>
    </r>
  </si>
  <si>
    <r>
      <rPr>
        <b/>
        <sz val="10"/>
        <color theme="1"/>
        <rFont val="Calibri"/>
        <family val="2"/>
        <scheme val="minor"/>
      </rPr>
      <t>Column C</t>
    </r>
    <r>
      <rPr>
        <sz val="10"/>
        <color theme="1"/>
        <rFont val="Calibri"/>
        <family val="2"/>
        <scheme val="minor"/>
      </rPr>
      <t xml:space="preserve"> is for totals (and averages).  These must be completed as checks on input data and results</t>
    </r>
  </si>
  <si>
    <r>
      <rPr>
        <b/>
        <sz val="10"/>
        <color theme="1"/>
        <rFont val="Calibri"/>
        <family val="2"/>
        <scheme val="minor"/>
      </rPr>
      <t>Column D</t>
    </r>
    <r>
      <rPr>
        <sz val="10"/>
        <color theme="1"/>
        <rFont val="Calibri"/>
        <family val="2"/>
        <scheme val="minor"/>
      </rPr>
      <t xml:space="preserve"> is where the years, quarters, months begin --------&gt;</t>
    </r>
  </si>
  <si>
    <t>$ per site per night</t>
  </si>
  <si>
    <t>$</t>
  </si>
  <si>
    <t xml:space="preserve">$ </t>
  </si>
  <si>
    <t>Units</t>
  </si>
  <si>
    <t>campsites</t>
  </si>
  <si>
    <t>Real</t>
  </si>
  <si>
    <t>campsite construction</t>
  </si>
  <si>
    <t>water supply, electricity generation, sewerage</t>
  </si>
  <si>
    <t>access roads &amp; signage</t>
  </si>
  <si>
    <t>2025 09 23  Dan Durrel: "Forecast ramp-up of sites sold.  High season in June/July and closes down in December to February</t>
  </si>
  <si>
    <t>campsites sold per night - average</t>
  </si>
  <si>
    <t>Campsites sold</t>
  </si>
  <si>
    <t xml:space="preserve">diesel, </t>
  </si>
  <si>
    <t>bookkeeping, accounting, compliance &amp; HSEC</t>
  </si>
  <si>
    <t xml:space="preserve">vehicles, </t>
  </si>
  <si>
    <t xml:space="preserve">solar lighting, bore pumps, tanks, piping, water taps, </t>
  </si>
  <si>
    <t xml:space="preserve">government permits &amp; inspections; legal, </t>
  </si>
  <si>
    <t>communications, website, signage, fencing</t>
  </si>
  <si>
    <t>This 'Worked Example' illustrates a preliminary assessment of a small business start-up: a Tourist Camp</t>
  </si>
  <si>
    <t>Its location in the tropics means it will have a high season in June/July and will close down in December to February</t>
  </si>
  <si>
    <t>Construction is scheduled to commence January 2027 and last six months.  Guests are expected from July 2027.</t>
  </si>
  <si>
    <t>Guests will arrive by vehicle with caravan, trailer or tent and stay one to several nights</t>
  </si>
  <si>
    <t>The proposed site is in lightly forested terrain and consruction should cause little disturbance</t>
  </si>
  <si>
    <t>The proposed campsite is in bushland close to a main road that carries freight, local traffic and tourists</t>
  </si>
  <si>
    <t>Results of a Preliminary Assessment</t>
  </si>
  <si>
    <t>Results in Graphic Form</t>
  </si>
  <si>
    <t>b. Capex - Start up - 'Capital Works'</t>
  </si>
  <si>
    <t>c. Capex- Start up "Simpler Depreciation for Small Business "</t>
  </si>
  <si>
    <t>From above …</t>
  </si>
  <si>
    <t>2025 07 23  Chang &amp; Zhou: "Capital Cost Estimate for the start up of a Tourist Campsite at Glen Downs"</t>
  </si>
  <si>
    <t>2025 07 23  Mamoud Ali: "Operating Cost Estimate for the start up of a Tourist Campsite at Glen Downs"</t>
  </si>
  <si>
    <t>variable costs - employment</t>
  </si>
  <si>
    <t>variable costs - diesel, consumables, communications&amp; freight</t>
  </si>
  <si>
    <t>fixed costs - commercial</t>
  </si>
  <si>
    <t>consumables &amp; communications</t>
  </si>
  <si>
    <t>cash surplus/deficit from campsite operations</t>
  </si>
  <si>
    <t>2025 08 22 P Card: Rather than deductinf 1% in first year and 30% subsequently, this evaluation has adopted a simplified method of say 25% every year.  = 2.1% per momnth</t>
  </si>
  <si>
    <t>2025 08 22 Taxation Office Website: "... pool most other depreciating assets that cost $20,000 or more in a small business asset pool and claim      a 15% deduction in the first year (regardless of when you purchased or acquired them during the year)  AND  a 30% deduction each year after the first year"</t>
  </si>
  <si>
    <t>2025 09 23  In this evaluation, the capex is sorted into groups that match the Taxation Office categories</t>
  </si>
  <si>
    <t>2025 08 22 The Taxation Office website states Capital works are "buildings or extensions, alterations or improvements to a building   and structural improvements such as sealed driveways, fences and retaining walls"</t>
  </si>
  <si>
    <t>2025 08 22 The Taxation Office website states that other capital items for a "Small Business" are deducted at a faster rate than "capital works"</t>
  </si>
  <si>
    <t>Tax deductions for "Capital Works" - available</t>
  </si>
  <si>
    <t>Tax deductions for "small business" - available</t>
  </si>
  <si>
    <t>tax deductions for capital expenditure - available</t>
  </si>
  <si>
    <t>2025 08 22  S Lee email: Before the corporate income tax can be computed, the tax deductions available from capital expenditure need to be calculated.  These are decided by the country's laws for its Tax Office and usually are different to Accounting depreciation.</t>
  </si>
  <si>
    <t>2025 08 22  S Lee email: The deductions for capex will accumulate until the business ramps up and commences to generate a taxable income.</t>
  </si>
  <si>
    <t>Next compute: the assessable income</t>
  </si>
  <si>
    <t>2025 08 22  Taxation Office Website: The land itself can't be 'written off' as its cost is not deductible.</t>
  </si>
  <si>
    <t>2025 08 22 Taxation Office Website: The "Capital Works" deduction is available for: 1) buildings or extensions, alterations or improvements to a building   and 2) structural improvements such as sealed driveways, fences and retaining walls.  Deduction rate of 4.0% apply = 0.33% per month,</t>
  </si>
  <si>
    <t>add: -</t>
  </si>
  <si>
    <t xml:space="preserve">2025 08 22  S Lee email: If this preliminary assessment is in Real Terms, then the deductions for capex should be computed in Nominal Terms and converted back to Real terms.  This probably is not warranted here because the approximation matches the accuracy of the assessment. </t>
  </si>
  <si>
    <t>2025 08 22  S Lee email: Income tax is liable when the surplus from trading exceeds the cumulative tax deductions for capital expenditure over the 12 month tax year.  The computation below is indicative because it is not in 12 month blocks.  It matches the accuracy of the revenue and operating cost estimates.</t>
  </si>
  <si>
    <t>2017 08 22 P Card:  Income tax is paid annually but is computed here on a monthly basis, which will achieve the same outcome over time.  The quantity of tax should be correct but the timing of tax payments is indicative.</t>
  </si>
  <si>
    <t>2025 08 22 P Card:  A key metric here is the month by month deficit or surplus in cash generated.  Are there months of bleeding cash and that would make the business unsustainable?</t>
  </si>
  <si>
    <t>2025 08 22 P Card: The NPV is not an absolute truth.  It is only as accurate as the estimates of revenue, capex and opex.  NPV is one of a basket of metrics.</t>
  </si>
  <si>
    <t>d. Capex- Ongoing "Simpler Depreciation for Small Business "</t>
  </si>
  <si>
    <t>2025 08 22 P Card: The NPV simply sums the future flows of cash surplus/deficit after reducing the value of each year's cash for the number of years it is in the future.</t>
  </si>
  <si>
    <t>2025 08 22 P Card: The discount rate should be experts who analyse the industry.  Here 6% is used.</t>
  </si>
  <si>
    <t>operating costs per campsite sold</t>
  </si>
  <si>
    <t>campsites sold per month</t>
  </si>
  <si>
    <t>Payback - months from first sales</t>
  </si>
  <si>
    <t>Income Tax - (indicative)</t>
  </si>
  <si>
    <t>Read this first</t>
  </si>
  <si>
    <r>
      <rPr>
        <b/>
        <sz val="11"/>
        <color theme="1"/>
        <rFont val="Calibri"/>
        <family val="2"/>
        <scheme val="minor"/>
      </rPr>
      <t xml:space="preserve">NPV  </t>
    </r>
    <r>
      <rPr>
        <sz val="10"/>
        <color theme="1"/>
        <rFont val="Calibri"/>
        <family val="2"/>
        <scheme val="minor"/>
      </rPr>
      <t>(Net Present Value)</t>
    </r>
  </si>
  <si>
    <t xml:space="preserve">Match the detail of the operating costs with their materiality.  Start as simply as sensible and add detail as is justified.  Usually operating costs can be sorted into natural groups of variable costs and fixed costs.  </t>
  </si>
  <si>
    <t>Your model may become long and detailed , but always use simple, obvious steps where anyone can readily follow the calculations.  Do not use 'half smart' algorithms that do multiple steps in one row - they are too tedious for others to untangle!</t>
  </si>
  <si>
    <t>Read the Website module on tax deductions for capex.    In many countries the tax deductions for capital spent is not the same as Accounting Depreciation</t>
  </si>
  <si>
    <t xml:space="preserve">Instead, you can choose to use a simple pool and diminishing value method - even where the tax laws specify straight line tax deductions - and it is usually fit-for-purpose. </t>
  </si>
  <si>
    <t>When used as a suitable proxy for straight line tax deductions, I understand that the diminishing rate should be increased by 50%.  For example if the law states tax deductions for capex is straight line over 10 years, then you should be able to use diminishing value method at 10% *150% = 15%.</t>
  </si>
  <si>
    <t>Highly accurate computations of tax deductions are likely to take many, many rows if each class of expenditure is done exactly according to country laws.  This is not fit for purpose as its precision is unnecessarily high for this preliminary level of study.  It is unnecessary, trivial and wasteful.  (Do not compute those big triangular shaped matrices.)</t>
  </si>
  <si>
    <r>
      <rPr>
        <sz val="12"/>
        <color rgb="FF0000FF"/>
        <rFont val="Arial"/>
        <family val="2"/>
      </rPr>
      <t xml:space="preserve">Worked Example - </t>
    </r>
    <r>
      <rPr>
        <b/>
        <sz val="16"/>
        <color indexed="12"/>
        <rFont val="Arial"/>
        <family val="2"/>
      </rPr>
      <t xml:space="preserve">Small Business Start up - A Preliminary Assessment </t>
    </r>
    <r>
      <rPr>
        <sz val="12"/>
        <color rgb="FF0000FF"/>
        <rFont val="Arial"/>
        <family val="2"/>
      </rPr>
      <t>- www.economicevaluation.com.au</t>
    </r>
  </si>
  <si>
    <t>Months of start-up &amp; business assessed --&gt;</t>
  </si>
  <si>
    <t>It is in months, not years, because there are no tourist for part of the year and we must know the cash to be inputted during these months.</t>
  </si>
  <si>
    <t>months</t>
  </si>
  <si>
    <t>It is in months, not years, because we must know the cash to be inputted during months with no tourists.</t>
  </si>
  <si>
    <t>employment costs</t>
  </si>
  <si>
    <r>
      <t xml:space="preserve">Cashstream 4: Income Tax </t>
    </r>
    <r>
      <rPr>
        <sz val="12"/>
        <color theme="1"/>
        <rFont val="Calibri"/>
        <family val="2"/>
        <scheme val="minor"/>
      </rPr>
      <t>(indicative)</t>
    </r>
  </si>
  <si>
    <t>Cash needed to be pumped in</t>
  </si>
  <si>
    <t>Cash Generation - Monthly</t>
  </si>
  <si>
    <t>Cash Generation - Cumulative</t>
  </si>
  <si>
    <t>IRR  (Internal Rate of Return)</t>
  </si>
  <si>
    <t xml:space="preserve">Cash Generation </t>
  </si>
  <si>
    <t>Internal Rate of Return</t>
  </si>
  <si>
    <t>Discounted Cash Generation - Monthly</t>
  </si>
  <si>
    <t>Discounted Cash Generation - Cumulative (NPV)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</si>
</sst>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8" x14ac:knownFonts="1">
    <font>
      <sz val="11"/>
      <color theme="1"/>
      <name val="Calibri"/>
      <family val="2"/>
      <scheme val="minor"/>
    </font>
    <font>
      <sz val="10"/>
      <color indexed="12"/>
      <name val="Arial"/>
      <family val="2"/>
    </font>
    <font>
      <sz val="11"/>
      <color theme="1"/>
      <name val="Calibri"/>
      <family val="2"/>
      <scheme val="minor"/>
    </font>
    <font>
      <sz val="10"/>
      <color rgb="FF0033CC"/>
      <name val="Arial"/>
      <family val="2"/>
    </font>
    <font>
      <b/>
      <sz val="12"/>
      <color theme="1"/>
      <name val="Calibri"/>
      <family val="2"/>
      <scheme val="minor"/>
    </font>
    <font>
      <b/>
      <sz val="12"/>
      <color rgb="FF000099"/>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8"/>
      <color rgb="FFFF0000"/>
      <name val="Calibri"/>
      <family val="2"/>
      <scheme val="minor"/>
    </font>
    <font>
      <b/>
      <sz val="14"/>
      <color rgb="FFFF0000"/>
      <name val="Calibri"/>
      <family val="2"/>
      <scheme val="minor"/>
    </font>
    <font>
      <sz val="10"/>
      <color theme="1"/>
      <name val="Calibri"/>
      <family val="2"/>
      <scheme val="minor"/>
    </font>
    <font>
      <b/>
      <sz val="10"/>
      <color rgb="FFFF00FF"/>
      <name val="Calibri"/>
      <family val="2"/>
      <scheme val="minor"/>
    </font>
    <font>
      <u/>
      <sz val="11"/>
      <color theme="10"/>
      <name val="Calibri"/>
      <family val="2"/>
      <scheme val="minor"/>
    </font>
    <font>
      <b/>
      <sz val="10"/>
      <color theme="1"/>
      <name val="Calibri"/>
      <family val="2"/>
      <scheme val="minor"/>
    </font>
    <font>
      <b/>
      <sz val="10"/>
      <color rgb="FF0070C0"/>
      <name val="Calibri"/>
      <family val="2"/>
      <scheme val="minor"/>
    </font>
    <font>
      <sz val="12"/>
      <color indexed="12"/>
      <name val="Arial"/>
      <family val="2"/>
    </font>
    <font>
      <sz val="12"/>
      <color rgb="FF0033CC"/>
      <name val="Arial"/>
      <family val="2"/>
    </font>
    <font>
      <sz val="10"/>
      <name val="Arial"/>
      <family val="2"/>
    </font>
    <font>
      <sz val="10"/>
      <name val="Calibri"/>
      <family val="2"/>
      <scheme val="minor"/>
    </font>
    <font>
      <sz val="12"/>
      <color rgb="FF00B050"/>
      <name val="Calibri"/>
      <family val="2"/>
      <scheme val="minor"/>
    </font>
    <font>
      <b/>
      <sz val="12"/>
      <color rgb="FFFF0000"/>
      <name val="Calibri"/>
      <family val="2"/>
      <scheme val="minor"/>
    </font>
    <font>
      <sz val="12"/>
      <color rgb="FFFF00FF"/>
      <name val="Calibri"/>
      <family val="2"/>
      <scheme val="minor"/>
    </font>
    <font>
      <b/>
      <sz val="12"/>
      <name val="Calibri"/>
      <family val="2"/>
      <scheme val="minor"/>
    </font>
    <font>
      <sz val="12"/>
      <name val="Calibri"/>
      <family val="2"/>
      <scheme val="minor"/>
    </font>
    <font>
      <sz val="12"/>
      <color theme="6" tint="-0.499984740745262"/>
      <name val="Calibri"/>
      <family val="2"/>
      <scheme val="minor"/>
    </font>
    <font>
      <sz val="12"/>
      <color rgb="FF000099"/>
      <name val="Calibri"/>
      <family val="2"/>
      <scheme val="minor"/>
    </font>
    <font>
      <sz val="18"/>
      <color theme="1"/>
      <name val="Calibri"/>
      <family val="2"/>
      <scheme val="minor"/>
    </font>
    <font>
      <sz val="12"/>
      <color theme="0" tint="-0.14999847407452621"/>
      <name val="Calibri"/>
      <family val="2"/>
      <scheme val="minor"/>
    </font>
    <font>
      <sz val="10"/>
      <color rgb="FF0070C0"/>
      <name val="Calibri"/>
      <family val="2"/>
      <scheme val="minor"/>
    </font>
    <font>
      <b/>
      <sz val="11"/>
      <color theme="1"/>
      <name val="Calibri"/>
      <family val="2"/>
      <scheme val="minor"/>
    </font>
    <font>
      <b/>
      <sz val="18"/>
      <color indexed="12"/>
      <name val="Arial"/>
      <family val="2"/>
    </font>
    <font>
      <b/>
      <sz val="11"/>
      <color indexed="10"/>
      <name val="Calibri"/>
      <family val="2"/>
    </font>
    <font>
      <sz val="11"/>
      <name val="Calibri"/>
      <family val="2"/>
      <scheme val="minor"/>
    </font>
    <font>
      <sz val="10"/>
      <color rgb="FF00B050"/>
      <name val="Calibri"/>
      <family val="2"/>
      <scheme val="minor"/>
    </font>
    <font>
      <b/>
      <i/>
      <sz val="10"/>
      <name val="Calibri"/>
      <family val="2"/>
      <scheme val="minor"/>
    </font>
    <font>
      <b/>
      <sz val="16"/>
      <color rgb="FF00B050"/>
      <name val="Calibri"/>
      <family val="2"/>
      <scheme val="minor"/>
    </font>
    <font>
      <sz val="12"/>
      <color rgb="FFFF3399"/>
      <name val="Arial"/>
      <family val="2"/>
    </font>
    <font>
      <b/>
      <sz val="14"/>
      <color rgb="FF0033CC"/>
      <name val="Calibri"/>
      <family val="2"/>
      <scheme val="minor"/>
    </font>
    <font>
      <sz val="14"/>
      <color rgb="FF0033CC"/>
      <name val="Calibri"/>
      <family val="2"/>
      <scheme val="minor"/>
    </font>
    <font>
      <b/>
      <sz val="11"/>
      <color rgb="FFFF0000"/>
      <name val="Calibri"/>
      <family val="2"/>
      <scheme val="minor"/>
    </font>
    <font>
      <sz val="10"/>
      <color rgb="FF0033CC"/>
      <name val="Calibri"/>
      <family val="2"/>
      <scheme val="minor"/>
    </font>
    <font>
      <b/>
      <sz val="10"/>
      <color rgb="FF0033CC"/>
      <name val="Calibri"/>
      <family val="2"/>
      <scheme val="minor"/>
    </font>
    <font>
      <b/>
      <sz val="10"/>
      <name val="Calibri"/>
      <family val="2"/>
      <scheme val="minor"/>
    </font>
    <font>
      <b/>
      <sz val="10"/>
      <color rgb="FFFF0000"/>
      <name val="Calibri"/>
      <family val="2"/>
      <scheme val="minor"/>
    </font>
    <font>
      <sz val="10"/>
      <color rgb="FF92D050"/>
      <name val="Calibri"/>
      <family val="2"/>
      <scheme val="minor"/>
    </font>
    <font>
      <sz val="10"/>
      <color rgb="FFFF0000"/>
      <name val="Calibri"/>
      <family val="2"/>
      <scheme val="minor"/>
    </font>
    <font>
      <b/>
      <sz val="16"/>
      <color indexed="12"/>
      <name val="Arial"/>
      <family val="2"/>
    </font>
    <font>
      <b/>
      <sz val="10"/>
      <color indexed="10"/>
      <name val="Calibri"/>
      <family val="2"/>
    </font>
    <font>
      <sz val="10"/>
      <color rgb="FFFF00FF"/>
      <name val="Arial"/>
      <family val="2"/>
    </font>
    <font>
      <b/>
      <sz val="11"/>
      <color rgb="FF0070C0"/>
      <name val="Calibri"/>
      <family val="2"/>
      <scheme val="minor"/>
    </font>
    <font>
      <b/>
      <sz val="11"/>
      <color rgb="FF00B050"/>
      <name val="Calibri"/>
      <family val="2"/>
      <scheme val="minor"/>
    </font>
    <font>
      <b/>
      <sz val="11"/>
      <name val="Calibri"/>
      <family val="2"/>
      <scheme val="minor"/>
    </font>
    <font>
      <b/>
      <i/>
      <sz val="11"/>
      <name val="Calibri"/>
      <family val="2"/>
      <scheme val="minor"/>
    </font>
    <font>
      <b/>
      <sz val="12"/>
      <color rgb="FF0033CC"/>
      <name val="Calibri"/>
      <family val="2"/>
      <scheme val="minor"/>
    </font>
    <font>
      <b/>
      <sz val="14"/>
      <color rgb="FF00B050"/>
      <name val="Calibri"/>
      <family val="2"/>
      <scheme val="minor"/>
    </font>
    <font>
      <sz val="12"/>
      <color rgb="FF0000FF"/>
      <name val="Arial"/>
      <family val="2"/>
    </font>
    <font>
      <b/>
      <sz val="10"/>
      <color rgb="FF00B050"/>
      <name val="Calibri"/>
      <family val="2"/>
      <scheme val="minor"/>
    </font>
  </fonts>
  <fills count="3">
    <fill>
      <patternFill patternType="none"/>
    </fill>
    <fill>
      <patternFill patternType="gray125"/>
    </fill>
    <fill>
      <patternFill patternType="solid">
        <fgColor rgb="FF99CCFF"/>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
    <xf numFmtId="0" fontId="0" fillId="0" borderId="0"/>
    <xf numFmtId="9" fontId="2" fillId="0" borderId="0" applyFont="0" applyFill="0" applyBorder="0" applyAlignment="0" applyProtection="0"/>
    <xf numFmtId="0" fontId="13" fillId="0" borderId="0" applyNumberFormat="0" applyFill="0" applyBorder="0" applyAlignment="0" applyProtection="0"/>
  </cellStyleXfs>
  <cellXfs count="133">
    <xf numFmtId="0" fontId="0" fillId="0" borderId="0" xfId="0"/>
    <xf numFmtId="0" fontId="4" fillId="0" borderId="0" xfId="0" applyFont="1" applyAlignment="1">
      <alignment horizontal="center"/>
    </xf>
    <xf numFmtId="9" fontId="5" fillId="2" borderId="0" xfId="0" applyNumberFormat="1" applyFont="1" applyFill="1" applyAlignment="1">
      <alignment horizontal="center"/>
    </xf>
    <xf numFmtId="0" fontId="7" fillId="0" borderId="0" xfId="0" applyFont="1" applyAlignment="1">
      <alignment horizontal="center"/>
    </xf>
    <xf numFmtId="0" fontId="8" fillId="0" borderId="0" xfId="0" applyFont="1"/>
    <xf numFmtId="0" fontId="0" fillId="0" borderId="0" xfId="0" applyAlignment="1">
      <alignment vertical="center"/>
    </xf>
    <xf numFmtId="0" fontId="4" fillId="0" borderId="0" xfId="0" applyFont="1" applyAlignment="1">
      <alignment horizontal="center" vertical="center"/>
    </xf>
    <xf numFmtId="0" fontId="7" fillId="0" borderId="0" xfId="0" applyFont="1"/>
    <xf numFmtId="0" fontId="4" fillId="0" borderId="0" xfId="0" applyFont="1"/>
    <xf numFmtId="0" fontId="11" fillId="0" borderId="0" xfId="0" applyFont="1"/>
    <xf numFmtId="0" fontId="14" fillId="0" borderId="0" xfId="0" applyFont="1"/>
    <xf numFmtId="0" fontId="14" fillId="0" borderId="0" xfId="0" applyFont="1" applyAlignment="1">
      <alignment horizontal="center"/>
    </xf>
    <xf numFmtId="3" fontId="7" fillId="0" borderId="0" xfId="0" applyNumberFormat="1" applyFont="1"/>
    <xf numFmtId="3" fontId="7" fillId="0" borderId="0" xfId="0" applyNumberFormat="1" applyFont="1" applyAlignment="1">
      <alignment horizontal="right"/>
    </xf>
    <xf numFmtId="0" fontId="19" fillId="0" borderId="0" xfId="0" applyFont="1"/>
    <xf numFmtId="0" fontId="9" fillId="0" borderId="0" xfId="0" applyFont="1" applyAlignment="1">
      <alignment vertical="center"/>
    </xf>
    <xf numFmtId="0" fontId="11"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21" fillId="0" borderId="0" xfId="0" applyFont="1" applyAlignment="1">
      <alignment vertical="center"/>
    </xf>
    <xf numFmtId="164" fontId="4" fillId="0" borderId="0" xfId="1" applyNumberFormat="1" applyFont="1" applyAlignment="1">
      <alignment horizontal="center"/>
    </xf>
    <xf numFmtId="0" fontId="22" fillId="0" borderId="0" xfId="0" applyFont="1" applyAlignment="1">
      <alignment horizontal="center"/>
    </xf>
    <xf numFmtId="0" fontId="21" fillId="0" borderId="0" xfId="0" applyFont="1"/>
    <xf numFmtId="0" fontId="25" fillId="0" borderId="0" xfId="0" applyFont="1"/>
    <xf numFmtId="3" fontId="25" fillId="0" borderId="0" xfId="0" applyNumberFormat="1" applyFont="1" applyAlignment="1">
      <alignment horizontal="right"/>
    </xf>
    <xf numFmtId="0" fontId="25" fillId="0" borderId="0" xfId="0" applyFont="1" applyAlignment="1">
      <alignment horizontal="center"/>
    </xf>
    <xf numFmtId="0" fontId="26" fillId="2" borderId="0" xfId="0" applyFont="1" applyFill="1" applyAlignment="1">
      <alignment horizontal="center"/>
    </xf>
    <xf numFmtId="9" fontId="26" fillId="2" borderId="0" xfId="0" applyNumberFormat="1" applyFont="1" applyFill="1" applyAlignment="1">
      <alignment horizontal="center"/>
    </xf>
    <xf numFmtId="3" fontId="7" fillId="0" borderId="0" xfId="0" applyNumberFormat="1" applyFont="1" applyAlignment="1">
      <alignment vertical="center"/>
    </xf>
    <xf numFmtId="0" fontId="28" fillId="0" borderId="0" xfId="0" applyFont="1" applyAlignment="1">
      <alignment horizontal="center" vertical="center"/>
    </xf>
    <xf numFmtId="0" fontId="28" fillId="0" borderId="0" xfId="0" applyFont="1" applyAlignment="1">
      <alignment vertical="center"/>
    </xf>
    <xf numFmtId="0" fontId="23" fillId="0" borderId="0" xfId="0" applyFont="1" applyAlignment="1">
      <alignment vertical="center"/>
    </xf>
    <xf numFmtId="164" fontId="24" fillId="0" borderId="0" xfId="1" applyNumberFormat="1" applyFont="1" applyAlignment="1">
      <alignment horizontal="left" vertical="center"/>
    </xf>
    <xf numFmtId="0" fontId="29" fillId="0" borderId="0" xfId="0" applyFont="1"/>
    <xf numFmtId="3" fontId="7" fillId="0" borderId="0" xfId="0" applyNumberFormat="1" applyFont="1" applyAlignment="1">
      <alignment horizontal="center" vertical="center"/>
    </xf>
    <xf numFmtId="0" fontId="10" fillId="0" borderId="0" xfId="0" applyFont="1" applyAlignment="1">
      <alignment vertical="center"/>
    </xf>
    <xf numFmtId="0" fontId="31" fillId="0" borderId="0" xfId="0" applyFont="1" applyAlignment="1">
      <alignment vertical="center"/>
    </xf>
    <xf numFmtId="0" fontId="27" fillId="0" borderId="0" xfId="0" applyFont="1" applyAlignment="1">
      <alignment vertical="center"/>
    </xf>
    <xf numFmtId="0" fontId="32" fillId="0" borderId="0" xfId="0" applyFont="1" applyAlignment="1">
      <alignment vertical="center"/>
    </xf>
    <xf numFmtId="0" fontId="1" fillId="0" borderId="0" xfId="0" applyFont="1" applyAlignment="1">
      <alignment horizontal="center"/>
    </xf>
    <xf numFmtId="15" fontId="3" fillId="0" borderId="0" xfId="0" applyNumberFormat="1" applyFont="1" applyAlignment="1">
      <alignment horizontal="center"/>
    </xf>
    <xf numFmtId="0" fontId="18" fillId="0" borderId="0" xfId="0" applyFont="1"/>
    <xf numFmtId="15" fontId="18" fillId="0" borderId="0" xfId="0" applyNumberFormat="1" applyFont="1"/>
    <xf numFmtId="0" fontId="18" fillId="0" borderId="0" xfId="0" applyFont="1" applyAlignment="1">
      <alignment horizontal="center"/>
    </xf>
    <xf numFmtId="15" fontId="18" fillId="0" borderId="0" xfId="0" applyNumberFormat="1" applyFont="1" applyAlignment="1">
      <alignment horizontal="center"/>
    </xf>
    <xf numFmtId="0" fontId="16" fillId="0" borderId="0" xfId="0" applyFont="1" applyAlignment="1">
      <alignment horizontal="center"/>
    </xf>
    <xf numFmtId="15" fontId="17" fillId="0" borderId="0" xfId="0" applyNumberFormat="1"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34" fillId="0" borderId="0" xfId="0" applyFont="1"/>
    <xf numFmtId="0" fontId="35" fillId="0" borderId="0" xfId="0" applyFont="1" applyAlignment="1">
      <alignment horizontal="center"/>
    </xf>
    <xf numFmtId="0" fontId="36" fillId="0" borderId="0" xfId="0" applyFont="1" applyAlignment="1">
      <alignment vertical="center"/>
    </xf>
    <xf numFmtId="0" fontId="20" fillId="0" borderId="0" xfId="0" applyFont="1" applyAlignment="1">
      <alignment vertical="center"/>
    </xf>
    <xf numFmtId="0" fontId="37" fillId="0" borderId="0" xfId="0" applyFont="1" applyAlignment="1">
      <alignment vertical="center"/>
    </xf>
    <xf numFmtId="0" fontId="33" fillId="0" borderId="0" xfId="0" applyFont="1" applyAlignment="1">
      <alignment horizontal="left" vertical="center"/>
    </xf>
    <xf numFmtId="38" fontId="4" fillId="0" borderId="0" xfId="0" applyNumberFormat="1" applyFont="1" applyAlignment="1">
      <alignment vertical="center"/>
    </xf>
    <xf numFmtId="38" fontId="0" fillId="0" borderId="0" xfId="0" applyNumberFormat="1" applyAlignment="1">
      <alignment horizontal="left" vertical="center"/>
    </xf>
    <xf numFmtId="0" fontId="8" fillId="0" borderId="0" xfId="0" applyFont="1" applyAlignment="1">
      <alignment vertical="center"/>
    </xf>
    <xf numFmtId="17" fontId="6" fillId="0" borderId="0" xfId="0" applyNumberFormat="1" applyFont="1" applyAlignment="1">
      <alignment horizontal="center" vertical="center"/>
    </xf>
    <xf numFmtId="0" fontId="38" fillId="0" borderId="0" xfId="0" applyFont="1" applyAlignment="1">
      <alignment horizontal="center"/>
    </xf>
    <xf numFmtId="0" fontId="39" fillId="0" borderId="0" xfId="0" applyFont="1" applyAlignment="1">
      <alignment horizontal="center"/>
    </xf>
    <xf numFmtId="17" fontId="38" fillId="0" borderId="0" xfId="0" applyNumberFormat="1" applyFont="1" applyAlignment="1">
      <alignment horizontal="center" vertical="center"/>
    </xf>
    <xf numFmtId="0" fontId="38" fillId="0" borderId="0" xfId="0" applyFont="1" applyAlignment="1">
      <alignment horizontal="left"/>
    </xf>
    <xf numFmtId="0" fontId="6" fillId="0" borderId="0" xfId="0" applyFont="1" applyAlignment="1">
      <alignment horizontal="center" vertical="center"/>
    </xf>
    <xf numFmtId="0" fontId="40" fillId="0" borderId="0" xfId="0" applyFont="1"/>
    <xf numFmtId="3" fontId="14" fillId="0" borderId="0" xfId="0" applyNumberFormat="1" applyFont="1" applyAlignment="1">
      <alignment horizontal="center"/>
    </xf>
    <xf numFmtId="3" fontId="14" fillId="0" borderId="0" xfId="0" applyNumberFormat="1" applyFont="1"/>
    <xf numFmtId="38" fontId="23" fillId="0" borderId="0" xfId="0" applyNumberFormat="1" applyFont="1" applyAlignment="1">
      <alignment vertical="center"/>
    </xf>
    <xf numFmtId="3" fontId="11" fillId="0" borderId="0" xfId="0" applyNumberFormat="1" applyFont="1" applyAlignment="1">
      <alignment horizontal="center"/>
    </xf>
    <xf numFmtId="3" fontId="11" fillId="0" borderId="0" xfId="0" applyNumberFormat="1" applyFont="1"/>
    <xf numFmtId="0" fontId="44" fillId="0" borderId="0" xfId="0" applyFont="1"/>
    <xf numFmtId="0" fontId="45" fillId="0" borderId="0" xfId="0" applyFont="1"/>
    <xf numFmtId="3" fontId="19" fillId="0" borderId="0" xfId="0" applyNumberFormat="1" applyFont="1"/>
    <xf numFmtId="3" fontId="43" fillId="0" borderId="2" xfId="0" applyNumberFormat="1" applyFont="1" applyBorder="1" applyAlignment="1">
      <alignment horizontal="center"/>
    </xf>
    <xf numFmtId="165" fontId="11" fillId="0" borderId="0" xfId="0" applyNumberFormat="1" applyFont="1" applyAlignment="1">
      <alignment horizontal="center"/>
    </xf>
    <xf numFmtId="0" fontId="11" fillId="0" borderId="0" xfId="0" applyFont="1" applyAlignment="1">
      <alignment horizontal="right"/>
    </xf>
    <xf numFmtId="38" fontId="11" fillId="0" borderId="0" xfId="0" applyNumberFormat="1" applyFont="1" applyAlignment="1">
      <alignment horizontal="right"/>
    </xf>
    <xf numFmtId="0" fontId="11" fillId="0" borderId="0" xfId="0" applyFont="1" applyAlignment="1">
      <alignment horizontal="center"/>
    </xf>
    <xf numFmtId="38" fontId="11" fillId="0" borderId="0" xfId="0" applyNumberFormat="1" applyFont="1" applyAlignment="1">
      <alignment horizontal="center"/>
    </xf>
    <xf numFmtId="38" fontId="11" fillId="0" borderId="2" xfId="0" applyNumberFormat="1" applyFont="1" applyBorder="1" applyAlignment="1">
      <alignment horizontal="center"/>
    </xf>
    <xf numFmtId="38" fontId="14" fillId="0" borderId="0" xfId="0" applyNumberFormat="1" applyFont="1" applyAlignment="1">
      <alignment horizontal="center"/>
    </xf>
    <xf numFmtId="38" fontId="11" fillId="0" borderId="0" xfId="0" applyNumberFormat="1" applyFont="1"/>
    <xf numFmtId="38" fontId="14" fillId="0" borderId="0" xfId="0" applyNumberFormat="1" applyFont="1"/>
    <xf numFmtId="38" fontId="14" fillId="0" borderId="0" xfId="0" applyNumberFormat="1" applyFont="1" applyAlignment="1">
      <alignment horizontal="right"/>
    </xf>
    <xf numFmtId="2" fontId="11" fillId="0" borderId="1" xfId="0" applyNumberFormat="1" applyFont="1" applyBorder="1" applyAlignment="1">
      <alignment horizontal="center"/>
    </xf>
    <xf numFmtId="2" fontId="11" fillId="0" borderId="0" xfId="0" applyNumberFormat="1" applyFont="1" applyAlignment="1">
      <alignment horizontal="center"/>
    </xf>
    <xf numFmtId="38" fontId="11" fillId="0" borderId="1" xfId="0" applyNumberFormat="1" applyFont="1" applyBorder="1" applyAlignment="1">
      <alignment horizontal="center"/>
    </xf>
    <xf numFmtId="17" fontId="11" fillId="0" borderId="0" xfId="0" applyNumberFormat="1" applyFont="1" applyAlignment="1">
      <alignment horizontal="center" vertical="center"/>
    </xf>
    <xf numFmtId="17" fontId="11" fillId="0" borderId="0" xfId="0" applyNumberFormat="1" applyFont="1" applyAlignment="1">
      <alignment vertical="center"/>
    </xf>
    <xf numFmtId="0" fontId="47" fillId="0" borderId="0" xfId="0" applyFont="1" applyAlignment="1">
      <alignment vertical="center"/>
    </xf>
    <xf numFmtId="0" fontId="48" fillId="0" borderId="0" xfId="0" applyFont="1" applyAlignment="1">
      <alignment vertical="center"/>
    </xf>
    <xf numFmtId="0" fontId="19" fillId="0" borderId="0" xfId="2" applyFont="1" applyFill="1"/>
    <xf numFmtId="0" fontId="1" fillId="0" borderId="0" xfId="0" applyFont="1"/>
    <xf numFmtId="15" fontId="1" fillId="0" borderId="0" xfId="0" applyNumberFormat="1" applyFont="1"/>
    <xf numFmtId="0" fontId="49" fillId="0" borderId="0" xfId="0" applyFont="1"/>
    <xf numFmtId="0" fontId="50" fillId="0" borderId="0" xfId="0" applyFont="1" applyAlignment="1">
      <alignment vertical="center"/>
    </xf>
    <xf numFmtId="0" fontId="51" fillId="0" borderId="0" xfId="0" applyFont="1"/>
    <xf numFmtId="0" fontId="52" fillId="0" borderId="0" xfId="0" applyFont="1"/>
    <xf numFmtId="0" fontId="53" fillId="0" borderId="0" xfId="0" applyFont="1"/>
    <xf numFmtId="3" fontId="41" fillId="0" borderId="0" xfId="0" applyNumberFormat="1" applyFont="1"/>
    <xf numFmtId="3" fontId="42" fillId="0" borderId="0" xfId="0" applyNumberFormat="1" applyFont="1" applyAlignment="1">
      <alignment horizontal="center"/>
    </xf>
    <xf numFmtId="0" fontId="46" fillId="0" borderId="0" xfId="0" applyFont="1"/>
    <xf numFmtId="38" fontId="4" fillId="0" borderId="0" xfId="0" applyNumberFormat="1" applyFont="1" applyAlignment="1">
      <alignment horizontal="left" vertical="center"/>
    </xf>
    <xf numFmtId="0" fontId="41" fillId="0" borderId="0" xfId="0" applyFont="1"/>
    <xf numFmtId="9" fontId="41" fillId="0" borderId="0" xfId="1" applyFont="1" applyFill="1"/>
    <xf numFmtId="164" fontId="41" fillId="0" borderId="0" xfId="1" applyNumberFormat="1" applyFont="1" applyFill="1" applyAlignment="1">
      <alignment horizontal="center"/>
    </xf>
    <xf numFmtId="3" fontId="54" fillId="0" borderId="0" xfId="0" applyNumberFormat="1" applyFont="1" applyAlignment="1">
      <alignment horizontal="center"/>
    </xf>
    <xf numFmtId="3" fontId="11" fillId="0" borderId="2" xfId="0" applyNumberFormat="1" applyFont="1" applyBorder="1" applyAlignment="1">
      <alignment horizontal="center"/>
    </xf>
    <xf numFmtId="9" fontId="41" fillId="0" borderId="0" xfId="1" applyFont="1" applyFill="1" applyAlignment="1">
      <alignment horizontal="center"/>
    </xf>
    <xf numFmtId="3" fontId="42" fillId="0" borderId="1" xfId="0" applyNumberFormat="1" applyFont="1" applyBorder="1" applyAlignment="1">
      <alignment horizontal="center"/>
    </xf>
    <xf numFmtId="3" fontId="54" fillId="0" borderId="1" xfId="0" applyNumberFormat="1" applyFont="1" applyBorder="1" applyAlignment="1">
      <alignment horizontal="center"/>
    </xf>
    <xf numFmtId="38" fontId="30" fillId="0" borderId="0" xfId="0" applyNumberFormat="1" applyFont="1"/>
    <xf numFmtId="3" fontId="30" fillId="0" borderId="2" xfId="0" applyNumberFormat="1" applyFont="1" applyBorder="1" applyAlignment="1">
      <alignment horizontal="center"/>
    </xf>
    <xf numFmtId="38" fontId="4" fillId="0" borderId="0" xfId="0" applyNumberFormat="1" applyFont="1" applyAlignment="1">
      <alignment horizontal="center" vertical="center"/>
    </xf>
    <xf numFmtId="38" fontId="4" fillId="0" borderId="2" xfId="0" applyNumberFormat="1" applyFont="1" applyBorder="1" applyAlignment="1">
      <alignment horizontal="center" vertical="center"/>
    </xf>
    <xf numFmtId="164" fontId="23" fillId="0" borderId="0" xfId="1" applyNumberFormat="1" applyFont="1" applyAlignment="1">
      <alignment horizontal="center" vertical="center"/>
    </xf>
    <xf numFmtId="0" fontId="4" fillId="0" borderId="0" xfId="1" applyNumberFormat="1" applyFont="1" applyAlignment="1">
      <alignment horizontal="center"/>
    </xf>
    <xf numFmtId="0" fontId="55" fillId="0" borderId="0" xfId="2" applyFont="1" applyFill="1"/>
    <xf numFmtId="38" fontId="11" fillId="0" borderId="0" xfId="0" applyNumberFormat="1" applyFont="1" applyAlignment="1">
      <alignment vertical="center"/>
    </xf>
    <xf numFmtId="38" fontId="11" fillId="0" borderId="0" xfId="0" applyNumberFormat="1" applyFont="1" applyAlignment="1">
      <alignment horizontal="left" vertical="center"/>
    </xf>
    <xf numFmtId="38" fontId="11" fillId="0" borderId="0" xfId="0" applyNumberFormat="1" applyFont="1" applyAlignment="1">
      <alignment horizontal="center" vertical="center"/>
    </xf>
    <xf numFmtId="38" fontId="11" fillId="0" borderId="0" xfId="0" applyNumberFormat="1" applyFont="1" applyAlignment="1">
      <alignment horizontal="right" vertical="center"/>
    </xf>
    <xf numFmtId="0" fontId="33" fillId="0" borderId="0" xfId="0" applyFont="1" applyAlignment="1">
      <alignment vertical="center"/>
    </xf>
    <xf numFmtId="164" fontId="33" fillId="0" borderId="0" xfId="1" applyNumberFormat="1" applyFont="1" applyAlignment="1">
      <alignment horizontal="left" vertical="center"/>
    </xf>
    <xf numFmtId="3" fontId="57" fillId="0" borderId="0" xfId="0" applyNumberFormat="1" applyFont="1" applyAlignment="1">
      <alignment horizontal="left"/>
    </xf>
    <xf numFmtId="3" fontId="57" fillId="0" borderId="0" xfId="0" applyNumberFormat="1" applyFont="1" applyAlignment="1">
      <alignment horizontal="center"/>
    </xf>
    <xf numFmtId="0" fontId="7" fillId="0" borderId="0" xfId="0" applyFont="1" applyAlignment="1">
      <alignment horizontal="left" vertical="center"/>
    </xf>
    <xf numFmtId="0" fontId="10" fillId="0" borderId="0" xfId="0" applyFont="1"/>
    <xf numFmtId="3" fontId="4" fillId="0" borderId="0" xfId="0" applyNumberFormat="1" applyFont="1" applyAlignment="1">
      <alignment horizontal="center"/>
    </xf>
    <xf numFmtId="38" fontId="4" fillId="0" borderId="0" xfId="0" applyNumberFormat="1" applyFont="1" applyAlignment="1">
      <alignment horizontal="center"/>
    </xf>
    <xf numFmtId="38" fontId="6" fillId="0" borderId="0" xfId="0" applyNumberFormat="1" applyFont="1" applyAlignment="1">
      <alignment horizontal="center"/>
    </xf>
    <xf numFmtId="38" fontId="4" fillId="0" borderId="0" xfId="0" applyNumberFormat="1" applyFont="1"/>
    <xf numFmtId="38" fontId="30" fillId="0" borderId="0" xfId="0" applyNumberFormat="1" applyFont="1" applyAlignment="1">
      <alignment horizontal="left" vertical="center"/>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00FF00"/>
      <color rgb="FF0033CC"/>
      <color rgb="FFFFCC66"/>
      <color rgb="FF0066FF"/>
      <color rgb="FF2AE41C"/>
      <color rgb="FFFF0066"/>
      <color rgb="FF3399FF"/>
      <color rgb="FFFF3399"/>
      <color rgb="FFFF66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Anatomy of the business: 4 CashStreams</a:t>
            </a:r>
          </a:p>
        </c:rich>
      </c:tx>
      <c:layout>
        <c:manualLayout>
          <c:xMode val="edge"/>
          <c:yMode val="edge"/>
          <c:x val="0.20715718375326067"/>
          <c:y val="8.68330295876409E-2"/>
        </c:manualLayout>
      </c:layout>
      <c:overlay val="1"/>
    </c:title>
    <c:autoTitleDeleted val="0"/>
    <c:plotArea>
      <c:layout>
        <c:manualLayout>
          <c:layoutTarget val="inner"/>
          <c:xMode val="edge"/>
          <c:yMode val="edge"/>
          <c:x val="0.19774298389488401"/>
          <c:y val="6.4922758635139508E-2"/>
          <c:w val="0.74429748164646214"/>
          <c:h val="0.79178176154554125"/>
        </c:manualLayout>
      </c:layout>
      <c:barChart>
        <c:barDir val="col"/>
        <c:grouping val="stacked"/>
        <c:varyColors val="0"/>
        <c:ser>
          <c:idx val="0"/>
          <c:order val="0"/>
          <c:tx>
            <c:strRef>
              <c:f>'start up campsite'!$A$209</c:f>
              <c:strCache>
                <c:ptCount val="1"/>
                <c:pt idx="0">
                  <c:v>Cashstream 2: Capital Costs</c:v>
                </c:pt>
              </c:strCache>
            </c:strRef>
          </c:tx>
          <c:spPr>
            <a:solidFill>
              <a:srgbClr val="00B0F0"/>
            </a:solidFill>
            <a:ln>
              <a:noFill/>
            </a:ln>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campsite'!$D$209:$AM$209</c:f>
              <c:numCache>
                <c:formatCode>#,##0</c:formatCode>
                <c:ptCount val="36"/>
                <c:pt idx="0">
                  <c:v>-931000</c:v>
                </c:pt>
                <c:pt idx="1">
                  <c:v>-340000</c:v>
                </c:pt>
                <c:pt idx="2">
                  <c:v>-240000</c:v>
                </c:pt>
                <c:pt idx="3">
                  <c:v>-240000</c:v>
                </c:pt>
                <c:pt idx="4">
                  <c:v>-240000</c:v>
                </c:pt>
                <c:pt idx="5">
                  <c:v>-215000</c:v>
                </c:pt>
                <c:pt idx="6">
                  <c:v>-10000</c:v>
                </c:pt>
                <c:pt idx="7">
                  <c:v>-10000</c:v>
                </c:pt>
                <c:pt idx="8">
                  <c:v>-10000</c:v>
                </c:pt>
                <c:pt idx="9">
                  <c:v>-10000</c:v>
                </c:pt>
                <c:pt idx="10">
                  <c:v>-10000</c:v>
                </c:pt>
                <c:pt idx="11">
                  <c:v>-10000</c:v>
                </c:pt>
                <c:pt idx="12">
                  <c:v>-10000</c:v>
                </c:pt>
                <c:pt idx="13">
                  <c:v>-10000</c:v>
                </c:pt>
                <c:pt idx="14">
                  <c:v>-10000</c:v>
                </c:pt>
                <c:pt idx="15">
                  <c:v>-10000</c:v>
                </c:pt>
                <c:pt idx="16">
                  <c:v>-10000</c:v>
                </c:pt>
                <c:pt idx="17">
                  <c:v>-10000</c:v>
                </c:pt>
                <c:pt idx="18">
                  <c:v>-10000</c:v>
                </c:pt>
                <c:pt idx="19">
                  <c:v>-10000</c:v>
                </c:pt>
                <c:pt idx="20">
                  <c:v>-10000</c:v>
                </c:pt>
                <c:pt idx="21">
                  <c:v>-10000</c:v>
                </c:pt>
                <c:pt idx="22">
                  <c:v>-10000</c:v>
                </c:pt>
                <c:pt idx="23">
                  <c:v>-10000</c:v>
                </c:pt>
                <c:pt idx="24">
                  <c:v>-10000</c:v>
                </c:pt>
                <c:pt idx="25">
                  <c:v>-10000</c:v>
                </c:pt>
                <c:pt idx="26">
                  <c:v>-10000</c:v>
                </c:pt>
                <c:pt idx="27">
                  <c:v>-10000</c:v>
                </c:pt>
                <c:pt idx="28">
                  <c:v>-10000</c:v>
                </c:pt>
                <c:pt idx="29">
                  <c:v>-10000</c:v>
                </c:pt>
                <c:pt idx="30">
                  <c:v>-10000</c:v>
                </c:pt>
                <c:pt idx="31">
                  <c:v>-10000</c:v>
                </c:pt>
                <c:pt idx="32">
                  <c:v>-10000</c:v>
                </c:pt>
                <c:pt idx="33">
                  <c:v>-10000</c:v>
                </c:pt>
                <c:pt idx="34">
                  <c:v>-10000</c:v>
                </c:pt>
                <c:pt idx="35">
                  <c:v>-10000</c:v>
                </c:pt>
              </c:numCache>
            </c:numRef>
          </c:val>
          <c:extLst>
            <c:ext xmlns:c16="http://schemas.microsoft.com/office/drawing/2014/chart" uri="{C3380CC4-5D6E-409C-BE32-E72D297353CC}">
              <c16:uniqueId val="{00000000-B2E7-4456-8A2F-F0ED508E4B79}"/>
            </c:ext>
          </c:extLst>
        </c:ser>
        <c:ser>
          <c:idx val="1"/>
          <c:order val="1"/>
          <c:tx>
            <c:strRef>
              <c:f>'start up campsite'!$A$210</c:f>
              <c:strCache>
                <c:ptCount val="1"/>
                <c:pt idx="0">
                  <c:v>Cashstream 3: Operating Costs</c:v>
                </c:pt>
              </c:strCache>
            </c:strRef>
          </c:tx>
          <c:spPr>
            <a:solidFill>
              <a:srgbClr val="FFFF00"/>
            </a:solidFill>
            <a:ln>
              <a:noFill/>
            </a:ln>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campsite'!$D$210:$AM$210</c:f>
              <c:numCache>
                <c:formatCode>#,##0</c:formatCode>
                <c:ptCount val="36"/>
                <c:pt idx="0">
                  <c:v>0</c:v>
                </c:pt>
                <c:pt idx="1">
                  <c:v>0</c:v>
                </c:pt>
                <c:pt idx="2">
                  <c:v>0</c:v>
                </c:pt>
                <c:pt idx="3">
                  <c:v>0</c:v>
                </c:pt>
                <c:pt idx="4">
                  <c:v>0</c:v>
                </c:pt>
                <c:pt idx="5">
                  <c:v>0</c:v>
                </c:pt>
                <c:pt idx="6">
                  <c:v>-63000</c:v>
                </c:pt>
                <c:pt idx="7">
                  <c:v>-63000</c:v>
                </c:pt>
                <c:pt idx="8">
                  <c:v>-63000</c:v>
                </c:pt>
                <c:pt idx="9">
                  <c:v>-63000</c:v>
                </c:pt>
                <c:pt idx="10">
                  <c:v>-63000</c:v>
                </c:pt>
                <c:pt idx="11">
                  <c:v>-18000</c:v>
                </c:pt>
                <c:pt idx="12">
                  <c:v>-18000</c:v>
                </c:pt>
                <c:pt idx="13">
                  <c:v>-18000</c:v>
                </c:pt>
                <c:pt idx="14">
                  <c:v>-63000</c:v>
                </c:pt>
                <c:pt idx="15">
                  <c:v>-63000</c:v>
                </c:pt>
                <c:pt idx="16">
                  <c:v>-63000</c:v>
                </c:pt>
                <c:pt idx="17">
                  <c:v>-63000</c:v>
                </c:pt>
                <c:pt idx="18">
                  <c:v>-63000</c:v>
                </c:pt>
                <c:pt idx="19">
                  <c:v>-63000</c:v>
                </c:pt>
                <c:pt idx="20">
                  <c:v>-63000</c:v>
                </c:pt>
                <c:pt idx="21">
                  <c:v>-63000</c:v>
                </c:pt>
                <c:pt idx="22">
                  <c:v>-63000</c:v>
                </c:pt>
                <c:pt idx="23">
                  <c:v>-18000</c:v>
                </c:pt>
                <c:pt idx="24">
                  <c:v>-18000</c:v>
                </c:pt>
                <c:pt idx="25">
                  <c:v>-18000</c:v>
                </c:pt>
                <c:pt idx="26">
                  <c:v>-63000</c:v>
                </c:pt>
                <c:pt idx="27">
                  <c:v>-63000</c:v>
                </c:pt>
                <c:pt idx="28">
                  <c:v>-63000</c:v>
                </c:pt>
                <c:pt idx="29">
                  <c:v>-63000</c:v>
                </c:pt>
                <c:pt idx="30">
                  <c:v>-63000</c:v>
                </c:pt>
                <c:pt idx="31">
                  <c:v>-63000</c:v>
                </c:pt>
                <c:pt idx="32">
                  <c:v>-63000</c:v>
                </c:pt>
                <c:pt idx="33">
                  <c:v>-63000</c:v>
                </c:pt>
                <c:pt idx="34">
                  <c:v>-63000</c:v>
                </c:pt>
                <c:pt idx="35">
                  <c:v>-63000</c:v>
                </c:pt>
              </c:numCache>
            </c:numRef>
          </c:val>
          <c:extLst>
            <c:ext xmlns:c16="http://schemas.microsoft.com/office/drawing/2014/chart" uri="{C3380CC4-5D6E-409C-BE32-E72D297353CC}">
              <c16:uniqueId val="{00000001-B2E7-4456-8A2F-F0ED508E4B79}"/>
            </c:ext>
          </c:extLst>
        </c:ser>
        <c:ser>
          <c:idx val="2"/>
          <c:order val="2"/>
          <c:tx>
            <c:strRef>
              <c:f>'start up campsite'!$A$211</c:f>
              <c:strCache>
                <c:ptCount val="1"/>
                <c:pt idx="0">
                  <c:v>Cashstream 4: Income Tax (indicative)</c:v>
                </c:pt>
              </c:strCache>
            </c:strRef>
          </c:tx>
          <c:spPr>
            <a:solidFill>
              <a:schemeClr val="accent4">
                <a:lumMod val="60000"/>
                <a:lumOff val="40000"/>
              </a:schemeClr>
            </a:solidFill>
            <a:ln>
              <a:noFill/>
            </a:ln>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campsite'!$D$211:$AM$211</c:f>
              <c:numCache>
                <c:formatCode>#,##0</c:formatCode>
                <c:ptCount val="36"/>
                <c:pt idx="0">
                  <c:v>0</c:v>
                </c:pt>
                <c:pt idx="1">
                  <c:v>0</c:v>
                </c:pt>
                <c:pt idx="2">
                  <c:v>0</c:v>
                </c:pt>
                <c:pt idx="3">
                  <c:v>0</c:v>
                </c:pt>
                <c:pt idx="4">
                  <c:v>0</c:v>
                </c:pt>
                <c:pt idx="5">
                  <c:v>0</c:v>
                </c:pt>
                <c:pt idx="6">
                  <c:v>0</c:v>
                </c:pt>
                <c:pt idx="7">
                  <c:v>0</c:v>
                </c:pt>
                <c:pt idx="8">
                  <c:v>-25731.577849610261</c:v>
                </c:pt>
                <c:pt idx="9">
                  <c:v>-36125.321497956036</c:v>
                </c:pt>
                <c:pt idx="10">
                  <c:v>-6833.7684799603185</c:v>
                </c:pt>
                <c:pt idx="11">
                  <c:v>0</c:v>
                </c:pt>
                <c:pt idx="12">
                  <c:v>0</c:v>
                </c:pt>
                <c:pt idx="13">
                  <c:v>0</c:v>
                </c:pt>
                <c:pt idx="14">
                  <c:v>0</c:v>
                </c:pt>
                <c:pt idx="15">
                  <c:v>0</c:v>
                </c:pt>
                <c:pt idx="16">
                  <c:v>-37357.240876344185</c:v>
                </c:pt>
                <c:pt idx="17">
                  <c:v>-65321.381250954415</c:v>
                </c:pt>
                <c:pt idx="18">
                  <c:v>-65312.175099285247</c:v>
                </c:pt>
                <c:pt idx="19">
                  <c:v>-50663.234389250101</c:v>
                </c:pt>
                <c:pt idx="20">
                  <c:v>-21374.553345325581</c:v>
                </c:pt>
                <c:pt idx="21">
                  <c:v>-6726.1263131299811</c:v>
                </c:pt>
                <c:pt idx="22">
                  <c:v>0</c:v>
                </c:pt>
                <c:pt idx="23">
                  <c:v>0</c:v>
                </c:pt>
                <c:pt idx="24">
                  <c:v>0</c:v>
                </c:pt>
                <c:pt idx="25">
                  <c:v>0</c:v>
                </c:pt>
                <c:pt idx="26">
                  <c:v>0</c:v>
                </c:pt>
                <c:pt idx="27">
                  <c:v>0</c:v>
                </c:pt>
                <c:pt idx="28">
                  <c:v>-28807.130529630762</c:v>
                </c:pt>
                <c:pt idx="29">
                  <c:v>-65227.213975552142</c:v>
                </c:pt>
                <c:pt idx="30">
                  <c:v>-65220.837380196332</c:v>
                </c:pt>
                <c:pt idx="31">
                  <c:v>-50574.664384924436</c:v>
                </c:pt>
                <c:pt idx="32">
                  <c:v>-21288.690512220212</c:v>
                </c:pt>
                <c:pt idx="33">
                  <c:v>-6642.9113786351572</c:v>
                </c:pt>
                <c:pt idx="34">
                  <c:v>0</c:v>
                </c:pt>
                <c:pt idx="35">
                  <c:v>0</c:v>
                </c:pt>
              </c:numCache>
            </c:numRef>
          </c:val>
          <c:extLst>
            <c:ext xmlns:c16="http://schemas.microsoft.com/office/drawing/2014/chart" uri="{C3380CC4-5D6E-409C-BE32-E72D297353CC}">
              <c16:uniqueId val="{00000002-B2E7-4456-8A2F-F0ED508E4B79}"/>
            </c:ext>
          </c:extLst>
        </c:ser>
        <c:ser>
          <c:idx val="3"/>
          <c:order val="3"/>
          <c:tx>
            <c:strRef>
              <c:f>'start up campsite'!$A$212</c:f>
              <c:strCache>
                <c:ptCount val="1"/>
                <c:pt idx="0">
                  <c:v>Cashflow if positive</c:v>
                </c:pt>
              </c:strCache>
            </c:strRef>
          </c:tx>
          <c:spPr>
            <a:solidFill>
              <a:srgbClr val="00CC00"/>
            </a:solidFill>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campsite'!$D$212:$AM$212</c:f>
              <c:numCache>
                <c:formatCode>#,##0</c:formatCode>
                <c:ptCount val="36"/>
                <c:pt idx="0">
                  <c:v>0</c:v>
                </c:pt>
                <c:pt idx="1">
                  <c:v>0</c:v>
                </c:pt>
                <c:pt idx="2">
                  <c:v>0</c:v>
                </c:pt>
                <c:pt idx="3">
                  <c:v>0</c:v>
                </c:pt>
                <c:pt idx="4">
                  <c:v>0</c:v>
                </c:pt>
                <c:pt idx="5">
                  <c:v>0</c:v>
                </c:pt>
                <c:pt idx="6">
                  <c:v>0</c:v>
                </c:pt>
                <c:pt idx="7">
                  <c:v>24600</c:v>
                </c:pt>
                <c:pt idx="8">
                  <c:v>145268.42215038973</c:v>
                </c:pt>
                <c:pt idx="9">
                  <c:v>86074.678502043971</c:v>
                </c:pt>
                <c:pt idx="10">
                  <c:v>17766.231520039681</c:v>
                </c:pt>
                <c:pt idx="11">
                  <c:v>0</c:v>
                </c:pt>
                <c:pt idx="12">
                  <c:v>0</c:v>
                </c:pt>
                <c:pt idx="13">
                  <c:v>0</c:v>
                </c:pt>
                <c:pt idx="14">
                  <c:v>0</c:v>
                </c:pt>
                <c:pt idx="15">
                  <c:v>73400</c:v>
                </c:pt>
                <c:pt idx="16">
                  <c:v>133642.75912365582</c:v>
                </c:pt>
                <c:pt idx="17">
                  <c:v>154478.61874904559</c:v>
                </c:pt>
                <c:pt idx="18">
                  <c:v>154487.82490071474</c:v>
                </c:pt>
                <c:pt idx="19">
                  <c:v>120336.76561074989</c:v>
                </c:pt>
                <c:pt idx="20">
                  <c:v>52025.446654674422</c:v>
                </c:pt>
                <c:pt idx="21">
                  <c:v>17873.873686870018</c:v>
                </c:pt>
                <c:pt idx="22">
                  <c:v>0</c:v>
                </c:pt>
                <c:pt idx="23">
                  <c:v>0</c:v>
                </c:pt>
                <c:pt idx="24">
                  <c:v>0</c:v>
                </c:pt>
                <c:pt idx="25">
                  <c:v>0</c:v>
                </c:pt>
                <c:pt idx="26">
                  <c:v>0</c:v>
                </c:pt>
                <c:pt idx="27">
                  <c:v>73400</c:v>
                </c:pt>
                <c:pt idx="28">
                  <c:v>142192.86947036925</c:v>
                </c:pt>
                <c:pt idx="29">
                  <c:v>154572.78602444785</c:v>
                </c:pt>
                <c:pt idx="30">
                  <c:v>154579.16261980368</c:v>
                </c:pt>
                <c:pt idx="31">
                  <c:v>120425.33561507557</c:v>
                </c:pt>
                <c:pt idx="32">
                  <c:v>52111.309487779785</c:v>
                </c:pt>
                <c:pt idx="33">
                  <c:v>17957.088621364841</c:v>
                </c:pt>
                <c:pt idx="34">
                  <c:v>0</c:v>
                </c:pt>
                <c:pt idx="35">
                  <c:v>0</c:v>
                </c:pt>
              </c:numCache>
            </c:numRef>
          </c:val>
          <c:extLst>
            <c:ext xmlns:c16="http://schemas.microsoft.com/office/drawing/2014/chart" uri="{C3380CC4-5D6E-409C-BE32-E72D297353CC}">
              <c16:uniqueId val="{00000003-B2E7-4456-8A2F-F0ED508E4B79}"/>
            </c:ext>
          </c:extLst>
        </c:ser>
        <c:ser>
          <c:idx val="4"/>
          <c:order val="4"/>
          <c:tx>
            <c:strRef>
              <c:f>'start up campsite'!$A$213</c:f>
              <c:strCache>
                <c:ptCount val="1"/>
                <c:pt idx="0">
                  <c:v>Cash needed to be pumped in</c:v>
                </c:pt>
              </c:strCache>
            </c:strRef>
          </c:tx>
          <c:spPr>
            <a:noFill/>
            <a:ln w="31750">
              <a:solidFill>
                <a:srgbClr val="FF0000"/>
              </a:solidFill>
              <a:prstDash val="sysDot"/>
            </a:ln>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campsite'!$D$213:$AM$213</c:f>
              <c:numCache>
                <c:formatCode>#,##0</c:formatCode>
                <c:ptCount val="36"/>
                <c:pt idx="0">
                  <c:v>931000</c:v>
                </c:pt>
                <c:pt idx="1">
                  <c:v>340000</c:v>
                </c:pt>
                <c:pt idx="2">
                  <c:v>240000</c:v>
                </c:pt>
                <c:pt idx="3">
                  <c:v>240000</c:v>
                </c:pt>
                <c:pt idx="4">
                  <c:v>240000</c:v>
                </c:pt>
                <c:pt idx="5">
                  <c:v>215000</c:v>
                </c:pt>
                <c:pt idx="6">
                  <c:v>48600</c:v>
                </c:pt>
                <c:pt idx="7">
                  <c:v>0</c:v>
                </c:pt>
                <c:pt idx="8">
                  <c:v>0</c:v>
                </c:pt>
                <c:pt idx="9">
                  <c:v>0</c:v>
                </c:pt>
                <c:pt idx="10">
                  <c:v>0</c:v>
                </c:pt>
                <c:pt idx="11">
                  <c:v>28000</c:v>
                </c:pt>
                <c:pt idx="12">
                  <c:v>28000</c:v>
                </c:pt>
                <c:pt idx="13">
                  <c:v>28000</c:v>
                </c:pt>
                <c:pt idx="14">
                  <c:v>24200</c:v>
                </c:pt>
                <c:pt idx="15">
                  <c:v>0</c:v>
                </c:pt>
                <c:pt idx="16">
                  <c:v>0</c:v>
                </c:pt>
                <c:pt idx="17">
                  <c:v>0</c:v>
                </c:pt>
                <c:pt idx="18">
                  <c:v>0</c:v>
                </c:pt>
                <c:pt idx="19">
                  <c:v>0</c:v>
                </c:pt>
                <c:pt idx="20">
                  <c:v>0</c:v>
                </c:pt>
                <c:pt idx="21">
                  <c:v>0</c:v>
                </c:pt>
                <c:pt idx="22">
                  <c:v>24200</c:v>
                </c:pt>
                <c:pt idx="23">
                  <c:v>28000</c:v>
                </c:pt>
                <c:pt idx="24">
                  <c:v>28000</c:v>
                </c:pt>
                <c:pt idx="25">
                  <c:v>28000</c:v>
                </c:pt>
                <c:pt idx="26">
                  <c:v>24200</c:v>
                </c:pt>
                <c:pt idx="27">
                  <c:v>0</c:v>
                </c:pt>
                <c:pt idx="28">
                  <c:v>0</c:v>
                </c:pt>
                <c:pt idx="29">
                  <c:v>0</c:v>
                </c:pt>
                <c:pt idx="30">
                  <c:v>0</c:v>
                </c:pt>
                <c:pt idx="31">
                  <c:v>0</c:v>
                </c:pt>
                <c:pt idx="32">
                  <c:v>0</c:v>
                </c:pt>
                <c:pt idx="33">
                  <c:v>0</c:v>
                </c:pt>
                <c:pt idx="34">
                  <c:v>24200</c:v>
                </c:pt>
                <c:pt idx="35">
                  <c:v>73000</c:v>
                </c:pt>
              </c:numCache>
            </c:numRef>
          </c:val>
          <c:extLst>
            <c:ext xmlns:c16="http://schemas.microsoft.com/office/drawing/2014/chart" uri="{C3380CC4-5D6E-409C-BE32-E72D297353CC}">
              <c16:uniqueId val="{00000004-B2E7-4456-8A2F-F0ED508E4B79}"/>
            </c:ext>
          </c:extLst>
        </c:ser>
        <c:dLbls>
          <c:showLegendKey val="0"/>
          <c:showVal val="0"/>
          <c:showCatName val="0"/>
          <c:showSerName val="0"/>
          <c:showPercent val="0"/>
          <c:showBubbleSize val="0"/>
        </c:dLbls>
        <c:gapWidth val="0"/>
        <c:overlap val="100"/>
        <c:axId val="275025648"/>
        <c:axId val="275026432"/>
      </c:barChart>
      <c:dateAx>
        <c:axId val="275025648"/>
        <c:scaling>
          <c:orientation val="minMax"/>
        </c:scaling>
        <c:delete val="0"/>
        <c:axPos val="b"/>
        <c:numFmt formatCode="mmm\-yy" sourceLinked="1"/>
        <c:majorTickMark val="out"/>
        <c:minorTickMark val="none"/>
        <c:tickLblPos val="nextTo"/>
        <c:txPr>
          <a:bodyPr/>
          <a:lstStyle/>
          <a:p>
            <a:pPr>
              <a:defRPr sz="1000"/>
            </a:pPr>
            <a:endParaRPr lang="en-US"/>
          </a:p>
        </c:txPr>
        <c:crossAx val="275026432"/>
        <c:crosses val="autoZero"/>
        <c:auto val="1"/>
        <c:lblOffset val="100"/>
        <c:baseTimeUnit val="months"/>
      </c:dateAx>
      <c:valAx>
        <c:axId val="275026432"/>
        <c:scaling>
          <c:orientation val="minMax"/>
        </c:scaling>
        <c:delete val="0"/>
        <c:axPos val="l"/>
        <c:majorGridlines/>
        <c:title>
          <c:tx>
            <c:rich>
              <a:bodyPr rot="-5400000" vert="horz"/>
              <a:lstStyle/>
              <a:p>
                <a:pPr>
                  <a:defRPr sz="1800" b="1"/>
                </a:pPr>
                <a:r>
                  <a:rPr lang="en-US" sz="1800" b="1"/>
                  <a:t>$</a:t>
                </a:r>
              </a:p>
            </c:rich>
          </c:tx>
          <c:layout>
            <c:manualLayout>
              <c:xMode val="edge"/>
              <c:yMode val="edge"/>
              <c:x val="1.6670289951129846E-2"/>
              <c:y val="0.34818581724652181"/>
            </c:manualLayout>
          </c:layout>
          <c:overlay val="0"/>
        </c:title>
        <c:numFmt formatCode="#,##0" sourceLinked="0"/>
        <c:majorTickMark val="out"/>
        <c:minorTickMark val="none"/>
        <c:tickLblPos val="nextTo"/>
        <c:txPr>
          <a:bodyPr/>
          <a:lstStyle/>
          <a:p>
            <a:pPr>
              <a:defRPr sz="1000" b="0" baseline="0"/>
            </a:pPr>
            <a:endParaRPr lang="en-US"/>
          </a:p>
        </c:txPr>
        <c:crossAx val="275025648"/>
        <c:crosses val="autoZero"/>
        <c:crossBetween val="between"/>
      </c:valAx>
    </c:plotArea>
    <c:legend>
      <c:legendPos val="b"/>
      <c:layout>
        <c:manualLayout>
          <c:xMode val="edge"/>
          <c:yMode val="edge"/>
          <c:x val="1.321527353277612E-2"/>
          <c:y val="0.67290315983229387"/>
          <c:w val="0.96204567050179468"/>
          <c:h val="0.31422152650499108"/>
        </c:manualLayout>
      </c:layout>
      <c:overlay val="0"/>
      <c:spPr>
        <a:solidFill>
          <a:schemeClr val="bg1"/>
        </a:solidFill>
      </c:spPr>
      <c:txPr>
        <a:bodyPr/>
        <a:lstStyle/>
        <a:p>
          <a:pPr>
            <a:defRPr sz="1000" b="1"/>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400" b="1"/>
              <a:t>Campsites Sold  &amp; Revenue</a:t>
            </a:r>
          </a:p>
        </c:rich>
      </c:tx>
      <c:layout>
        <c:manualLayout>
          <c:xMode val="edge"/>
          <c:yMode val="edge"/>
          <c:x val="0.20491467089538681"/>
          <c:y val="4.3211436603072487E-2"/>
        </c:manualLayout>
      </c:layout>
      <c:overlay val="1"/>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0513914585813386"/>
          <c:y val="0.14255757780118486"/>
          <c:w val="0.64142105187671217"/>
          <c:h val="0.59566753858968813"/>
        </c:manualLayout>
      </c:layout>
      <c:barChart>
        <c:barDir val="col"/>
        <c:grouping val="stacked"/>
        <c:varyColors val="0"/>
        <c:ser>
          <c:idx val="1"/>
          <c:order val="1"/>
          <c:tx>
            <c:strRef>
              <c:f>'start up campsite'!$A$63</c:f>
              <c:strCache>
                <c:ptCount val="1"/>
                <c:pt idx="0">
                  <c:v>Cashstream 1: Revenue</c:v>
                </c:pt>
              </c:strCache>
            </c:strRef>
          </c:tx>
          <c:spPr>
            <a:solidFill>
              <a:schemeClr val="accent3">
                <a:lumMod val="20000"/>
                <a:lumOff val="80000"/>
              </a:schemeClr>
            </a:solidFill>
            <a:ln>
              <a:noFill/>
            </a:ln>
            <a:effectLst/>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campsite'!$D$63:$AM$63</c:f>
              <c:numCache>
                <c:formatCode>#,##0</c:formatCode>
                <c:ptCount val="36"/>
                <c:pt idx="0">
                  <c:v>0</c:v>
                </c:pt>
                <c:pt idx="1">
                  <c:v>0</c:v>
                </c:pt>
                <c:pt idx="2">
                  <c:v>0</c:v>
                </c:pt>
                <c:pt idx="3">
                  <c:v>0</c:v>
                </c:pt>
                <c:pt idx="4">
                  <c:v>0</c:v>
                </c:pt>
                <c:pt idx="5">
                  <c:v>0</c:v>
                </c:pt>
                <c:pt idx="6">
                  <c:v>24400</c:v>
                </c:pt>
                <c:pt idx="7">
                  <c:v>97600</c:v>
                </c:pt>
                <c:pt idx="8">
                  <c:v>244000</c:v>
                </c:pt>
                <c:pt idx="9">
                  <c:v>195200</c:v>
                </c:pt>
                <c:pt idx="10">
                  <c:v>97600</c:v>
                </c:pt>
                <c:pt idx="11">
                  <c:v>0</c:v>
                </c:pt>
                <c:pt idx="12">
                  <c:v>0</c:v>
                </c:pt>
                <c:pt idx="13">
                  <c:v>0</c:v>
                </c:pt>
                <c:pt idx="14">
                  <c:v>48800</c:v>
                </c:pt>
                <c:pt idx="15">
                  <c:v>146400</c:v>
                </c:pt>
                <c:pt idx="16">
                  <c:v>244000</c:v>
                </c:pt>
                <c:pt idx="17">
                  <c:v>292800</c:v>
                </c:pt>
                <c:pt idx="18">
                  <c:v>292800</c:v>
                </c:pt>
                <c:pt idx="19">
                  <c:v>244000</c:v>
                </c:pt>
                <c:pt idx="20">
                  <c:v>146400</c:v>
                </c:pt>
                <c:pt idx="21">
                  <c:v>97600</c:v>
                </c:pt>
                <c:pt idx="22">
                  <c:v>48800</c:v>
                </c:pt>
                <c:pt idx="23">
                  <c:v>0</c:v>
                </c:pt>
                <c:pt idx="24">
                  <c:v>0</c:v>
                </c:pt>
                <c:pt idx="25">
                  <c:v>0</c:v>
                </c:pt>
                <c:pt idx="26">
                  <c:v>48800</c:v>
                </c:pt>
                <c:pt idx="27">
                  <c:v>146400</c:v>
                </c:pt>
                <c:pt idx="28">
                  <c:v>244000</c:v>
                </c:pt>
                <c:pt idx="29">
                  <c:v>292800</c:v>
                </c:pt>
                <c:pt idx="30">
                  <c:v>292800</c:v>
                </c:pt>
                <c:pt idx="31">
                  <c:v>244000</c:v>
                </c:pt>
                <c:pt idx="32">
                  <c:v>146400</c:v>
                </c:pt>
                <c:pt idx="33">
                  <c:v>97600</c:v>
                </c:pt>
                <c:pt idx="34">
                  <c:v>48800</c:v>
                </c:pt>
                <c:pt idx="35">
                  <c:v>0</c:v>
                </c:pt>
              </c:numCache>
            </c:numRef>
          </c:val>
          <c:extLst>
            <c:ext xmlns:c16="http://schemas.microsoft.com/office/drawing/2014/chart" uri="{C3380CC4-5D6E-409C-BE32-E72D297353CC}">
              <c16:uniqueId val="{00000000-10AF-4653-B753-65DC9C964203}"/>
            </c:ext>
          </c:extLst>
        </c:ser>
        <c:dLbls>
          <c:showLegendKey val="0"/>
          <c:showVal val="0"/>
          <c:showCatName val="0"/>
          <c:showSerName val="0"/>
          <c:showPercent val="0"/>
          <c:showBubbleSize val="0"/>
        </c:dLbls>
        <c:gapWidth val="26"/>
        <c:overlap val="100"/>
        <c:axId val="275019768"/>
        <c:axId val="275020160"/>
      </c:barChart>
      <c:lineChart>
        <c:grouping val="standard"/>
        <c:varyColors val="0"/>
        <c:ser>
          <c:idx val="0"/>
          <c:order val="0"/>
          <c:tx>
            <c:strRef>
              <c:f>'start up campsite'!$A$60</c:f>
              <c:strCache>
                <c:ptCount val="1"/>
                <c:pt idx="0">
                  <c:v>campsites sold per night - average</c:v>
                </c:pt>
              </c:strCache>
            </c:strRef>
          </c:tx>
          <c:spPr>
            <a:ln w="28575" cap="rnd">
              <a:solidFill>
                <a:schemeClr val="accent3">
                  <a:lumMod val="50000"/>
                </a:schemeClr>
              </a:solidFill>
              <a:round/>
            </a:ln>
            <a:effectLst/>
          </c:spPr>
          <c:marker>
            <c:symbol val="none"/>
          </c:marker>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campsite'!$D$60:$AM$60</c:f>
              <c:numCache>
                <c:formatCode>#,##0</c:formatCode>
                <c:ptCount val="36"/>
                <c:pt idx="6">
                  <c:v>10</c:v>
                </c:pt>
                <c:pt idx="7">
                  <c:v>40</c:v>
                </c:pt>
                <c:pt idx="8">
                  <c:v>100</c:v>
                </c:pt>
                <c:pt idx="9">
                  <c:v>80</c:v>
                </c:pt>
                <c:pt idx="10">
                  <c:v>40</c:v>
                </c:pt>
                <c:pt idx="11">
                  <c:v>0</c:v>
                </c:pt>
                <c:pt idx="12">
                  <c:v>0</c:v>
                </c:pt>
                <c:pt idx="13">
                  <c:v>0</c:v>
                </c:pt>
                <c:pt idx="14">
                  <c:v>20</c:v>
                </c:pt>
                <c:pt idx="15">
                  <c:v>60</c:v>
                </c:pt>
                <c:pt idx="16">
                  <c:v>100</c:v>
                </c:pt>
                <c:pt idx="17">
                  <c:v>120</c:v>
                </c:pt>
                <c:pt idx="18">
                  <c:v>120</c:v>
                </c:pt>
                <c:pt idx="19">
                  <c:v>100</c:v>
                </c:pt>
                <c:pt idx="20">
                  <c:v>60</c:v>
                </c:pt>
                <c:pt idx="21">
                  <c:v>40</c:v>
                </c:pt>
                <c:pt idx="22">
                  <c:v>20</c:v>
                </c:pt>
                <c:pt idx="23">
                  <c:v>0</c:v>
                </c:pt>
                <c:pt idx="24">
                  <c:v>0</c:v>
                </c:pt>
                <c:pt idx="25">
                  <c:v>0</c:v>
                </c:pt>
                <c:pt idx="26">
                  <c:v>20</c:v>
                </c:pt>
                <c:pt idx="27">
                  <c:v>60</c:v>
                </c:pt>
                <c:pt idx="28">
                  <c:v>100</c:v>
                </c:pt>
                <c:pt idx="29">
                  <c:v>120</c:v>
                </c:pt>
                <c:pt idx="30">
                  <c:v>120</c:v>
                </c:pt>
                <c:pt idx="31">
                  <c:v>100</c:v>
                </c:pt>
                <c:pt idx="32">
                  <c:v>60</c:v>
                </c:pt>
                <c:pt idx="33">
                  <c:v>40</c:v>
                </c:pt>
                <c:pt idx="34">
                  <c:v>20</c:v>
                </c:pt>
                <c:pt idx="35">
                  <c:v>0</c:v>
                </c:pt>
              </c:numCache>
            </c:numRef>
          </c:val>
          <c:smooth val="0"/>
          <c:extLst>
            <c:ext xmlns:c16="http://schemas.microsoft.com/office/drawing/2014/chart" uri="{C3380CC4-5D6E-409C-BE32-E72D297353CC}">
              <c16:uniqueId val="{00000000-A789-478E-AA46-F0BBF8E22E7D}"/>
            </c:ext>
          </c:extLst>
        </c:ser>
        <c:dLbls>
          <c:showLegendKey val="0"/>
          <c:showVal val="0"/>
          <c:showCatName val="0"/>
          <c:showSerName val="0"/>
          <c:showPercent val="0"/>
          <c:showBubbleSize val="0"/>
        </c:dLbls>
        <c:marker val="1"/>
        <c:smooth val="0"/>
        <c:axId val="155907056"/>
        <c:axId val="155909456"/>
      </c:lineChart>
      <c:dateAx>
        <c:axId val="2750197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5020160"/>
        <c:crosses val="autoZero"/>
        <c:auto val="1"/>
        <c:lblOffset val="100"/>
        <c:baseTimeUnit val="months"/>
      </c:dateAx>
      <c:valAx>
        <c:axId val="275020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rtl="0">
                  <a:defRPr lang="en-US" sz="1200" b="1"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lumMod val="65000"/>
                        <a:lumOff val="35000"/>
                      </a:sysClr>
                    </a:solidFill>
                    <a:latin typeface="+mn-lt"/>
                    <a:ea typeface="+mn-ea"/>
                    <a:cs typeface="+mn-cs"/>
                  </a:rPr>
                  <a:t>$ Revenue</a:t>
                </a:r>
              </a:p>
            </c:rich>
          </c:tx>
          <c:layout>
            <c:manualLayout>
              <c:xMode val="edge"/>
              <c:yMode val="edge"/>
              <c:x val="1.8999876222304743E-2"/>
              <c:y val="9.8572658405059813E-2"/>
            </c:manualLayout>
          </c:layout>
          <c:overlay val="0"/>
          <c:spPr>
            <a:noFill/>
            <a:ln>
              <a:noFill/>
            </a:ln>
            <a:effectLst/>
          </c:spPr>
          <c:txPr>
            <a:bodyPr rot="-5400000" spcFirstLastPara="1" vertOverflow="ellipsis" vert="horz" wrap="square" anchor="ctr" anchorCtr="1"/>
            <a:lstStyle/>
            <a:p>
              <a:pPr algn="ctr" rtl="0">
                <a:defRPr lang="en-US" sz="1200" b="1" i="0" u="none" strike="noStrike" kern="1200" baseline="0">
                  <a:solidFill>
                    <a:sysClr val="windowText" lastClr="000000">
                      <a:lumMod val="65000"/>
                      <a:lumOff val="35000"/>
                    </a:sys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75019768"/>
        <c:crosses val="autoZero"/>
        <c:crossBetween val="between"/>
      </c:valAx>
      <c:valAx>
        <c:axId val="155909456"/>
        <c:scaling>
          <c:orientation val="minMax"/>
        </c:scaling>
        <c:delete val="0"/>
        <c:axPos val="r"/>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Campsites Sold per night</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55907056"/>
        <c:crosses val="max"/>
        <c:crossBetween val="between"/>
      </c:valAx>
      <c:dateAx>
        <c:axId val="155907056"/>
        <c:scaling>
          <c:orientation val="minMax"/>
        </c:scaling>
        <c:delete val="1"/>
        <c:axPos val="b"/>
        <c:numFmt formatCode="mmm\-yy" sourceLinked="1"/>
        <c:majorTickMark val="out"/>
        <c:minorTickMark val="none"/>
        <c:tickLblPos val="nextTo"/>
        <c:crossAx val="155909456"/>
        <c:crosses val="autoZero"/>
        <c:auto val="1"/>
        <c:lblOffset val="100"/>
        <c:baseTimeUnit val="months"/>
        <c:majorUnit val="1"/>
        <c:minorUnit val="1"/>
      </c:date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Net Cash</a:t>
            </a:r>
          </a:p>
        </c:rich>
      </c:tx>
      <c:layout>
        <c:manualLayout>
          <c:xMode val="edge"/>
          <c:yMode val="edge"/>
          <c:x val="0.27011959505061867"/>
          <c:y val="1.1943869456328228E-2"/>
        </c:manualLayout>
      </c:layout>
      <c:overlay val="0"/>
    </c:title>
    <c:autoTitleDeleted val="0"/>
    <c:plotArea>
      <c:layout>
        <c:manualLayout>
          <c:layoutTarget val="inner"/>
          <c:xMode val="edge"/>
          <c:yMode val="edge"/>
          <c:x val="0.25320601343784188"/>
          <c:y val="0.13533260813881154"/>
          <c:w val="0.70819251804582772"/>
          <c:h val="0.67069582081707479"/>
        </c:manualLayout>
      </c:layout>
      <c:barChart>
        <c:barDir val="col"/>
        <c:grouping val="clustered"/>
        <c:varyColors val="0"/>
        <c:ser>
          <c:idx val="1"/>
          <c:order val="1"/>
          <c:tx>
            <c:strRef>
              <c:f>'start up campsite'!$A$189</c:f>
              <c:strCache>
                <c:ptCount val="1"/>
                <c:pt idx="0">
                  <c:v>Cash Generation - Monthly</c:v>
                </c:pt>
              </c:strCache>
            </c:strRef>
          </c:tx>
          <c:spPr>
            <a:solidFill>
              <a:schemeClr val="accent3">
                <a:lumMod val="60000"/>
                <a:lumOff val="40000"/>
              </a:schemeClr>
            </a:solidFill>
            <a:ln>
              <a:noFill/>
            </a:ln>
          </c:spPr>
          <c:invertIfNegative val="0"/>
          <c:val>
            <c:numRef>
              <c:f>'start up campsite'!$D$189:$AM$189</c:f>
              <c:numCache>
                <c:formatCode>#,##0</c:formatCode>
                <c:ptCount val="36"/>
                <c:pt idx="0">
                  <c:v>-931000</c:v>
                </c:pt>
                <c:pt idx="1">
                  <c:v>-340000</c:v>
                </c:pt>
                <c:pt idx="2">
                  <c:v>-240000</c:v>
                </c:pt>
                <c:pt idx="3">
                  <c:v>-240000</c:v>
                </c:pt>
                <c:pt idx="4">
                  <c:v>-240000</c:v>
                </c:pt>
                <c:pt idx="5">
                  <c:v>-215000</c:v>
                </c:pt>
                <c:pt idx="6">
                  <c:v>-48600</c:v>
                </c:pt>
                <c:pt idx="7">
                  <c:v>24600</c:v>
                </c:pt>
                <c:pt idx="8">
                  <c:v>145268.42215038976</c:v>
                </c:pt>
                <c:pt idx="9">
                  <c:v>86074.678502043971</c:v>
                </c:pt>
                <c:pt idx="10">
                  <c:v>17766.231520039684</c:v>
                </c:pt>
                <c:pt idx="11">
                  <c:v>-28000</c:v>
                </c:pt>
                <c:pt idx="12">
                  <c:v>-28000</c:v>
                </c:pt>
                <c:pt idx="13">
                  <c:v>-28000</c:v>
                </c:pt>
                <c:pt idx="14">
                  <c:v>-24200</c:v>
                </c:pt>
                <c:pt idx="15">
                  <c:v>73400</c:v>
                </c:pt>
                <c:pt idx="16">
                  <c:v>133642.75912365582</c:v>
                </c:pt>
                <c:pt idx="17">
                  <c:v>154478.61874904559</c:v>
                </c:pt>
                <c:pt idx="18">
                  <c:v>154487.82490071474</c:v>
                </c:pt>
                <c:pt idx="19">
                  <c:v>120336.76561074989</c:v>
                </c:pt>
                <c:pt idx="20">
                  <c:v>52025.446654674422</c:v>
                </c:pt>
                <c:pt idx="21">
                  <c:v>17873.873686870022</c:v>
                </c:pt>
                <c:pt idx="22">
                  <c:v>-24200</c:v>
                </c:pt>
                <c:pt idx="23">
                  <c:v>-28000</c:v>
                </c:pt>
                <c:pt idx="24">
                  <c:v>-28000</c:v>
                </c:pt>
                <c:pt idx="25">
                  <c:v>-28000</c:v>
                </c:pt>
                <c:pt idx="26">
                  <c:v>-24200</c:v>
                </c:pt>
                <c:pt idx="27">
                  <c:v>73400</c:v>
                </c:pt>
                <c:pt idx="28">
                  <c:v>142192.86947036925</c:v>
                </c:pt>
                <c:pt idx="29">
                  <c:v>154572.78602444785</c:v>
                </c:pt>
                <c:pt idx="30">
                  <c:v>154579.16261980368</c:v>
                </c:pt>
                <c:pt idx="31">
                  <c:v>120425.33561507557</c:v>
                </c:pt>
                <c:pt idx="32">
                  <c:v>52111.309487779785</c:v>
                </c:pt>
                <c:pt idx="33">
                  <c:v>17957.088621364848</c:v>
                </c:pt>
                <c:pt idx="34">
                  <c:v>-24200</c:v>
                </c:pt>
                <c:pt idx="35">
                  <c:v>-73000</c:v>
                </c:pt>
              </c:numCache>
            </c:numRef>
          </c:val>
          <c:extLst>
            <c:ext xmlns:c16="http://schemas.microsoft.com/office/drawing/2014/chart" uri="{C3380CC4-5D6E-409C-BE32-E72D297353CC}">
              <c16:uniqueId val="{00000000-20BA-4840-9BF1-B6057CB1A62D}"/>
            </c:ext>
          </c:extLst>
        </c:ser>
        <c:dLbls>
          <c:showLegendKey val="0"/>
          <c:showVal val="0"/>
          <c:showCatName val="0"/>
          <c:showSerName val="0"/>
          <c:showPercent val="0"/>
          <c:showBubbleSize val="0"/>
        </c:dLbls>
        <c:gapWidth val="20"/>
        <c:axId val="275021336"/>
        <c:axId val="277108728"/>
      </c:barChart>
      <c:lineChart>
        <c:grouping val="standard"/>
        <c:varyColors val="0"/>
        <c:ser>
          <c:idx val="0"/>
          <c:order val="0"/>
          <c:tx>
            <c:strRef>
              <c:f>'start up campsite'!$A$191</c:f>
              <c:strCache>
                <c:ptCount val="1"/>
                <c:pt idx="0">
                  <c:v>Cash Generation - Cumulative</c:v>
                </c:pt>
              </c:strCache>
            </c:strRef>
          </c:tx>
          <c:spPr>
            <a:ln w="38100">
              <a:solidFill>
                <a:schemeClr val="accent3">
                  <a:lumMod val="75000"/>
                </a:schemeClr>
              </a:solidFill>
            </a:ln>
          </c:spPr>
          <c:marker>
            <c:symbol val="none"/>
          </c:marker>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campsite'!$C$191:$AM$191</c:f>
              <c:numCache>
                <c:formatCode>#,##0_);[Red]\(#,##0\)</c:formatCode>
                <c:ptCount val="37"/>
                <c:pt idx="1">
                  <c:v>-931000</c:v>
                </c:pt>
                <c:pt idx="2">
                  <c:v>-1271000</c:v>
                </c:pt>
                <c:pt idx="3">
                  <c:v>-1511000</c:v>
                </c:pt>
                <c:pt idx="4">
                  <c:v>-1751000</c:v>
                </c:pt>
                <c:pt idx="5">
                  <c:v>-1991000</c:v>
                </c:pt>
                <c:pt idx="6">
                  <c:v>-2206000</c:v>
                </c:pt>
                <c:pt idx="7">
                  <c:v>-2254600</c:v>
                </c:pt>
                <c:pt idx="8">
                  <c:v>-2230000</c:v>
                </c:pt>
                <c:pt idx="9">
                  <c:v>-2084731.5778496102</c:v>
                </c:pt>
                <c:pt idx="10">
                  <c:v>-1998656.8993475663</c:v>
                </c:pt>
                <c:pt idx="11">
                  <c:v>-1980890.6678275266</c:v>
                </c:pt>
                <c:pt idx="12">
                  <c:v>-2008890.6678275266</c:v>
                </c:pt>
                <c:pt idx="13">
                  <c:v>-2036890.6678275266</c:v>
                </c:pt>
                <c:pt idx="14">
                  <c:v>-2064890.6678275266</c:v>
                </c:pt>
                <c:pt idx="15">
                  <c:v>-2089090.6678275266</c:v>
                </c:pt>
                <c:pt idx="16">
                  <c:v>-2015690.6678275266</c:v>
                </c:pt>
                <c:pt idx="17">
                  <c:v>-1882047.9087038708</c:v>
                </c:pt>
                <c:pt idx="18">
                  <c:v>-1727569.2899548253</c:v>
                </c:pt>
                <c:pt idx="19">
                  <c:v>-1573081.4650541106</c:v>
                </c:pt>
                <c:pt idx="20">
                  <c:v>-1452744.6994433608</c:v>
                </c:pt>
                <c:pt idx="21">
                  <c:v>-1400719.2527886864</c:v>
                </c:pt>
                <c:pt idx="22">
                  <c:v>-1382845.3791018163</c:v>
                </c:pt>
                <c:pt idx="23">
                  <c:v>-1407045.3791018163</c:v>
                </c:pt>
                <c:pt idx="24">
                  <c:v>-1435045.3791018163</c:v>
                </c:pt>
                <c:pt idx="25">
                  <c:v>-1463045.3791018163</c:v>
                </c:pt>
                <c:pt idx="26">
                  <c:v>-1491045.3791018163</c:v>
                </c:pt>
                <c:pt idx="27">
                  <c:v>-1515245.3791018163</c:v>
                </c:pt>
                <c:pt idx="28">
                  <c:v>-1441845.3791018163</c:v>
                </c:pt>
                <c:pt idx="29">
                  <c:v>-1299652.509631447</c:v>
                </c:pt>
                <c:pt idx="30">
                  <c:v>-1145079.7236069993</c:v>
                </c:pt>
                <c:pt idx="31">
                  <c:v>-990500.56098719558</c:v>
                </c:pt>
                <c:pt idx="32">
                  <c:v>-870075.22537212004</c:v>
                </c:pt>
                <c:pt idx="33">
                  <c:v>-817963.9158843403</c:v>
                </c:pt>
                <c:pt idx="34">
                  <c:v>-800006.82726297551</c:v>
                </c:pt>
                <c:pt idx="35">
                  <c:v>-824206.82726297551</c:v>
                </c:pt>
                <c:pt idx="36">
                  <c:v>-897206.82726297551</c:v>
                </c:pt>
              </c:numCache>
            </c:numRef>
          </c:val>
          <c:smooth val="0"/>
          <c:extLst>
            <c:ext xmlns:c16="http://schemas.microsoft.com/office/drawing/2014/chart" uri="{C3380CC4-5D6E-409C-BE32-E72D297353CC}">
              <c16:uniqueId val="{00000000-9E2F-4FEE-A9BB-E6CC3E60004E}"/>
            </c:ext>
          </c:extLst>
        </c:ser>
        <c:dLbls>
          <c:showLegendKey val="0"/>
          <c:showVal val="0"/>
          <c:showCatName val="0"/>
          <c:showSerName val="0"/>
          <c:showPercent val="0"/>
          <c:showBubbleSize val="0"/>
        </c:dLbls>
        <c:marker val="1"/>
        <c:smooth val="0"/>
        <c:axId val="275021336"/>
        <c:axId val="277108728"/>
      </c:lineChart>
      <c:dateAx>
        <c:axId val="275021336"/>
        <c:scaling>
          <c:orientation val="minMax"/>
        </c:scaling>
        <c:delete val="0"/>
        <c:axPos val="b"/>
        <c:numFmt formatCode="mmm\-yy" sourceLinked="1"/>
        <c:majorTickMark val="out"/>
        <c:minorTickMark val="none"/>
        <c:tickLblPos val="nextTo"/>
        <c:txPr>
          <a:bodyPr/>
          <a:lstStyle/>
          <a:p>
            <a:pPr>
              <a:defRPr sz="1000" b="0"/>
            </a:pPr>
            <a:endParaRPr lang="en-US"/>
          </a:p>
        </c:txPr>
        <c:crossAx val="277108728"/>
        <c:crosses val="autoZero"/>
        <c:auto val="1"/>
        <c:lblOffset val="100"/>
        <c:baseTimeUnit val="months"/>
      </c:dateAx>
      <c:valAx>
        <c:axId val="277108728"/>
        <c:scaling>
          <c:orientation val="minMax"/>
        </c:scaling>
        <c:delete val="0"/>
        <c:axPos val="l"/>
        <c:majorGridlines/>
        <c:title>
          <c:tx>
            <c:rich>
              <a:bodyPr rot="-5400000" vert="horz"/>
              <a:lstStyle/>
              <a:p>
                <a:pPr>
                  <a:defRPr sz="1800"/>
                </a:pPr>
                <a:r>
                  <a:rPr lang="en-US" sz="1800"/>
                  <a:t>$</a:t>
                </a:r>
              </a:p>
            </c:rich>
          </c:tx>
          <c:layout>
            <c:manualLayout>
              <c:xMode val="edge"/>
              <c:yMode val="edge"/>
              <c:x val="2.885194206839253E-2"/>
              <c:y val="0.20191414009387545"/>
            </c:manualLayout>
          </c:layout>
          <c:overlay val="0"/>
        </c:title>
        <c:numFmt formatCode="#,##0" sourceLinked="0"/>
        <c:majorTickMark val="out"/>
        <c:minorTickMark val="none"/>
        <c:tickLblPos val="nextTo"/>
        <c:txPr>
          <a:bodyPr/>
          <a:lstStyle/>
          <a:p>
            <a:pPr>
              <a:defRPr sz="1000" b="0"/>
            </a:pPr>
            <a:endParaRPr lang="en-US"/>
          </a:p>
        </c:txPr>
        <c:crossAx val="275021336"/>
        <c:crosses val="autoZero"/>
        <c:crossBetween val="between"/>
      </c:valAx>
    </c:plotArea>
    <c:legend>
      <c:legendPos val="r"/>
      <c:layout>
        <c:manualLayout>
          <c:xMode val="edge"/>
          <c:yMode val="edge"/>
          <c:x val="3.9430314016503334E-2"/>
          <c:y val="0.77449544092159583"/>
          <c:w val="0.89125908721841429"/>
          <c:h val="0.20872304635953656"/>
        </c:manualLayout>
      </c:layout>
      <c:overlay val="0"/>
      <c:txPr>
        <a:bodyPr/>
        <a:lstStyle/>
        <a:p>
          <a:pPr>
            <a:defRPr sz="1000" b="1" i="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Operating Costs versus Revenue</a:t>
            </a:r>
          </a:p>
        </c:rich>
      </c:tx>
      <c:layout>
        <c:manualLayout>
          <c:xMode val="edge"/>
          <c:yMode val="edge"/>
          <c:x val="0.20501436455698785"/>
          <c:y val="0"/>
        </c:manualLayout>
      </c:layout>
      <c:overlay val="1"/>
    </c:title>
    <c:autoTitleDeleted val="0"/>
    <c:plotArea>
      <c:layout>
        <c:manualLayout>
          <c:layoutTarget val="inner"/>
          <c:xMode val="edge"/>
          <c:yMode val="edge"/>
          <c:x val="0.15875389947057669"/>
          <c:y val="0.14919187733112307"/>
          <c:w val="0.79687162244176046"/>
          <c:h val="0.39601110515871013"/>
        </c:manualLayout>
      </c:layout>
      <c:barChart>
        <c:barDir val="col"/>
        <c:grouping val="stacked"/>
        <c:varyColors val="0"/>
        <c:ser>
          <c:idx val="3"/>
          <c:order val="0"/>
          <c:tx>
            <c:strRef>
              <c:f>'start up campsite'!$A$104</c:f>
              <c:strCache>
                <c:ptCount val="1"/>
                <c:pt idx="0">
                  <c:v>employment costs</c:v>
                </c:pt>
              </c:strCache>
            </c:strRef>
          </c:tx>
          <c:spPr>
            <a:solidFill>
              <a:schemeClr val="accent6">
                <a:lumMod val="40000"/>
                <a:lumOff val="60000"/>
              </a:schemeClr>
            </a:solidFill>
            <a:ln w="76200">
              <a:noFill/>
              <a:prstDash val="sysDash"/>
            </a:ln>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campsite'!$D$104:$AM$104</c:f>
              <c:numCache>
                <c:formatCode>#,##0</c:formatCode>
                <c:ptCount val="36"/>
                <c:pt idx="0">
                  <c:v>0</c:v>
                </c:pt>
                <c:pt idx="1">
                  <c:v>0</c:v>
                </c:pt>
                <c:pt idx="2">
                  <c:v>0</c:v>
                </c:pt>
                <c:pt idx="3">
                  <c:v>0</c:v>
                </c:pt>
                <c:pt idx="4">
                  <c:v>0</c:v>
                </c:pt>
                <c:pt idx="5">
                  <c:v>0</c:v>
                </c:pt>
                <c:pt idx="6">
                  <c:v>52500</c:v>
                </c:pt>
                <c:pt idx="7">
                  <c:v>52500</c:v>
                </c:pt>
                <c:pt idx="8">
                  <c:v>52500</c:v>
                </c:pt>
                <c:pt idx="9">
                  <c:v>52500</c:v>
                </c:pt>
                <c:pt idx="10">
                  <c:v>52500</c:v>
                </c:pt>
                <c:pt idx="11">
                  <c:v>15000</c:v>
                </c:pt>
                <c:pt idx="12">
                  <c:v>15000</c:v>
                </c:pt>
                <c:pt idx="13">
                  <c:v>15000</c:v>
                </c:pt>
                <c:pt idx="14">
                  <c:v>52500</c:v>
                </c:pt>
                <c:pt idx="15">
                  <c:v>52500</c:v>
                </c:pt>
                <c:pt idx="16">
                  <c:v>52500</c:v>
                </c:pt>
                <c:pt idx="17">
                  <c:v>52500</c:v>
                </c:pt>
                <c:pt idx="18">
                  <c:v>52500</c:v>
                </c:pt>
                <c:pt idx="19">
                  <c:v>52500</c:v>
                </c:pt>
                <c:pt idx="20">
                  <c:v>52500</c:v>
                </c:pt>
                <c:pt idx="21">
                  <c:v>52500</c:v>
                </c:pt>
                <c:pt idx="22">
                  <c:v>52500</c:v>
                </c:pt>
                <c:pt idx="23">
                  <c:v>15000</c:v>
                </c:pt>
                <c:pt idx="24">
                  <c:v>15000</c:v>
                </c:pt>
                <c:pt idx="25">
                  <c:v>15000</c:v>
                </c:pt>
                <c:pt idx="26">
                  <c:v>52500</c:v>
                </c:pt>
                <c:pt idx="27">
                  <c:v>52500</c:v>
                </c:pt>
                <c:pt idx="28">
                  <c:v>52500</c:v>
                </c:pt>
                <c:pt idx="29">
                  <c:v>52500</c:v>
                </c:pt>
                <c:pt idx="30">
                  <c:v>52500</c:v>
                </c:pt>
                <c:pt idx="31">
                  <c:v>52500</c:v>
                </c:pt>
                <c:pt idx="32">
                  <c:v>52500</c:v>
                </c:pt>
                <c:pt idx="33">
                  <c:v>52500</c:v>
                </c:pt>
                <c:pt idx="34">
                  <c:v>52500</c:v>
                </c:pt>
                <c:pt idx="35">
                  <c:v>52500</c:v>
                </c:pt>
              </c:numCache>
            </c:numRef>
          </c:val>
          <c:extLst>
            <c:ext xmlns:c16="http://schemas.microsoft.com/office/drawing/2014/chart" uri="{C3380CC4-5D6E-409C-BE32-E72D297353CC}">
              <c16:uniqueId val="{00000002-9D80-4537-9BBE-AE3BAE18227C}"/>
            </c:ext>
          </c:extLst>
        </c:ser>
        <c:ser>
          <c:idx val="0"/>
          <c:order val="1"/>
          <c:tx>
            <c:strRef>
              <c:f>'start up campsite'!$A$110</c:f>
              <c:strCache>
                <c:ptCount val="1"/>
                <c:pt idx="0">
                  <c:v>variable costs - diesel, consumables, communications&amp; freight</c:v>
                </c:pt>
              </c:strCache>
            </c:strRef>
          </c:tx>
          <c:spPr>
            <a:solidFill>
              <a:srgbClr val="FFFF00"/>
            </a:solidFill>
            <a:ln>
              <a:noFill/>
            </a:ln>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campsite'!$D$110:$AM$110</c:f>
              <c:numCache>
                <c:formatCode>#,##0</c:formatCode>
                <c:ptCount val="36"/>
                <c:pt idx="0">
                  <c:v>0</c:v>
                </c:pt>
                <c:pt idx="1">
                  <c:v>0</c:v>
                </c:pt>
                <c:pt idx="2">
                  <c:v>0</c:v>
                </c:pt>
                <c:pt idx="3">
                  <c:v>0</c:v>
                </c:pt>
                <c:pt idx="4">
                  <c:v>0</c:v>
                </c:pt>
                <c:pt idx="5">
                  <c:v>0</c:v>
                </c:pt>
                <c:pt idx="6">
                  <c:v>7500</c:v>
                </c:pt>
                <c:pt idx="7">
                  <c:v>7500</c:v>
                </c:pt>
                <c:pt idx="8">
                  <c:v>7500</c:v>
                </c:pt>
                <c:pt idx="9">
                  <c:v>7500</c:v>
                </c:pt>
                <c:pt idx="10">
                  <c:v>7500</c:v>
                </c:pt>
                <c:pt idx="11">
                  <c:v>0</c:v>
                </c:pt>
                <c:pt idx="12">
                  <c:v>0</c:v>
                </c:pt>
                <c:pt idx="13">
                  <c:v>0</c:v>
                </c:pt>
                <c:pt idx="14">
                  <c:v>7500</c:v>
                </c:pt>
                <c:pt idx="15">
                  <c:v>7500</c:v>
                </c:pt>
                <c:pt idx="16">
                  <c:v>7500</c:v>
                </c:pt>
                <c:pt idx="17">
                  <c:v>7500</c:v>
                </c:pt>
                <c:pt idx="18">
                  <c:v>7500</c:v>
                </c:pt>
                <c:pt idx="19">
                  <c:v>7500</c:v>
                </c:pt>
                <c:pt idx="20">
                  <c:v>7500</c:v>
                </c:pt>
                <c:pt idx="21">
                  <c:v>7500</c:v>
                </c:pt>
                <c:pt idx="22">
                  <c:v>7500</c:v>
                </c:pt>
                <c:pt idx="23">
                  <c:v>0</c:v>
                </c:pt>
                <c:pt idx="24">
                  <c:v>0</c:v>
                </c:pt>
                <c:pt idx="25">
                  <c:v>0</c:v>
                </c:pt>
                <c:pt idx="26">
                  <c:v>7500</c:v>
                </c:pt>
                <c:pt idx="27">
                  <c:v>7500</c:v>
                </c:pt>
                <c:pt idx="28">
                  <c:v>7500</c:v>
                </c:pt>
                <c:pt idx="29">
                  <c:v>7500</c:v>
                </c:pt>
                <c:pt idx="30">
                  <c:v>7500</c:v>
                </c:pt>
                <c:pt idx="31">
                  <c:v>7500</c:v>
                </c:pt>
                <c:pt idx="32">
                  <c:v>7500</c:v>
                </c:pt>
                <c:pt idx="33">
                  <c:v>7500</c:v>
                </c:pt>
                <c:pt idx="34">
                  <c:v>7500</c:v>
                </c:pt>
                <c:pt idx="35">
                  <c:v>7500</c:v>
                </c:pt>
              </c:numCache>
            </c:numRef>
          </c:val>
          <c:extLst>
            <c:ext xmlns:c16="http://schemas.microsoft.com/office/drawing/2014/chart" uri="{C3380CC4-5D6E-409C-BE32-E72D297353CC}">
              <c16:uniqueId val="{00000000-B7C1-4809-8963-ACB0FB4468A9}"/>
            </c:ext>
          </c:extLst>
        </c:ser>
        <c:ser>
          <c:idx val="2"/>
          <c:order val="2"/>
          <c:tx>
            <c:strRef>
              <c:f>'start up campsite'!$A$115</c:f>
              <c:strCache>
                <c:ptCount val="1"/>
                <c:pt idx="0">
                  <c:v>fixed costs - commercial</c:v>
                </c:pt>
              </c:strCache>
            </c:strRef>
          </c:tx>
          <c:spPr>
            <a:solidFill>
              <a:schemeClr val="accent6">
                <a:lumMod val="75000"/>
              </a:schemeClr>
            </a:solidFill>
            <a:ln>
              <a:noFill/>
            </a:ln>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campsite'!$D$115:$AM$115</c:f>
              <c:numCache>
                <c:formatCode>#,##0</c:formatCode>
                <c:ptCount val="36"/>
                <c:pt idx="0">
                  <c:v>0</c:v>
                </c:pt>
                <c:pt idx="1">
                  <c:v>0</c:v>
                </c:pt>
                <c:pt idx="2">
                  <c:v>0</c:v>
                </c:pt>
                <c:pt idx="3">
                  <c:v>0</c:v>
                </c:pt>
                <c:pt idx="4">
                  <c:v>0</c:v>
                </c:pt>
                <c:pt idx="5">
                  <c:v>0</c:v>
                </c:pt>
                <c:pt idx="6">
                  <c:v>3000</c:v>
                </c:pt>
                <c:pt idx="7">
                  <c:v>3000</c:v>
                </c:pt>
                <c:pt idx="8">
                  <c:v>3000</c:v>
                </c:pt>
                <c:pt idx="9">
                  <c:v>3000</c:v>
                </c:pt>
                <c:pt idx="10">
                  <c:v>3000</c:v>
                </c:pt>
                <c:pt idx="11">
                  <c:v>3000</c:v>
                </c:pt>
                <c:pt idx="12">
                  <c:v>3000</c:v>
                </c:pt>
                <c:pt idx="13">
                  <c:v>3000</c:v>
                </c:pt>
                <c:pt idx="14">
                  <c:v>3000</c:v>
                </c:pt>
                <c:pt idx="15">
                  <c:v>3000</c:v>
                </c:pt>
                <c:pt idx="16">
                  <c:v>3000</c:v>
                </c:pt>
                <c:pt idx="17">
                  <c:v>3000</c:v>
                </c:pt>
                <c:pt idx="18">
                  <c:v>3000</c:v>
                </c:pt>
                <c:pt idx="19">
                  <c:v>3000</c:v>
                </c:pt>
                <c:pt idx="20">
                  <c:v>3000</c:v>
                </c:pt>
                <c:pt idx="21">
                  <c:v>3000</c:v>
                </c:pt>
                <c:pt idx="22">
                  <c:v>3000</c:v>
                </c:pt>
                <c:pt idx="23">
                  <c:v>3000</c:v>
                </c:pt>
                <c:pt idx="24">
                  <c:v>3000</c:v>
                </c:pt>
                <c:pt idx="25">
                  <c:v>3000</c:v>
                </c:pt>
                <c:pt idx="26">
                  <c:v>3000</c:v>
                </c:pt>
                <c:pt idx="27">
                  <c:v>3000</c:v>
                </c:pt>
                <c:pt idx="28">
                  <c:v>3000</c:v>
                </c:pt>
                <c:pt idx="29">
                  <c:v>3000</c:v>
                </c:pt>
                <c:pt idx="30">
                  <c:v>3000</c:v>
                </c:pt>
                <c:pt idx="31">
                  <c:v>3000</c:v>
                </c:pt>
                <c:pt idx="32">
                  <c:v>3000</c:v>
                </c:pt>
                <c:pt idx="33">
                  <c:v>3000</c:v>
                </c:pt>
                <c:pt idx="34">
                  <c:v>3000</c:v>
                </c:pt>
                <c:pt idx="35">
                  <c:v>3000</c:v>
                </c:pt>
              </c:numCache>
            </c:numRef>
          </c:val>
          <c:extLst>
            <c:ext xmlns:c16="http://schemas.microsoft.com/office/drawing/2014/chart" uri="{C3380CC4-5D6E-409C-BE32-E72D297353CC}">
              <c16:uniqueId val="{00000002-B7C1-4809-8963-ACB0FB4468A9}"/>
            </c:ext>
          </c:extLst>
        </c:ser>
        <c:dLbls>
          <c:showLegendKey val="0"/>
          <c:showVal val="0"/>
          <c:showCatName val="0"/>
          <c:showSerName val="0"/>
          <c:showPercent val="0"/>
          <c:showBubbleSize val="0"/>
        </c:dLbls>
        <c:gapWidth val="10"/>
        <c:overlap val="100"/>
        <c:axId val="277113040"/>
        <c:axId val="277111472"/>
      </c:barChart>
      <c:lineChart>
        <c:grouping val="standard"/>
        <c:varyColors val="0"/>
        <c:ser>
          <c:idx val="4"/>
          <c:order val="3"/>
          <c:tx>
            <c:strRef>
              <c:f>'start up campsite'!$A$63</c:f>
              <c:strCache>
                <c:ptCount val="1"/>
                <c:pt idx="0">
                  <c:v>Cashstream 1: Revenue</c:v>
                </c:pt>
              </c:strCache>
            </c:strRef>
          </c:tx>
          <c:spPr>
            <a:ln>
              <a:solidFill>
                <a:schemeClr val="accent3">
                  <a:lumMod val="75000"/>
                </a:schemeClr>
              </a:solidFill>
            </a:ln>
          </c:spPr>
          <c:marker>
            <c:symbol val="none"/>
          </c:marker>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campsite'!$D$63:$AM$63</c:f>
              <c:numCache>
                <c:formatCode>#,##0</c:formatCode>
                <c:ptCount val="36"/>
                <c:pt idx="0">
                  <c:v>0</c:v>
                </c:pt>
                <c:pt idx="1">
                  <c:v>0</c:v>
                </c:pt>
                <c:pt idx="2">
                  <c:v>0</c:v>
                </c:pt>
                <c:pt idx="3">
                  <c:v>0</c:v>
                </c:pt>
                <c:pt idx="4">
                  <c:v>0</c:v>
                </c:pt>
                <c:pt idx="5">
                  <c:v>0</c:v>
                </c:pt>
                <c:pt idx="6">
                  <c:v>24400</c:v>
                </c:pt>
                <c:pt idx="7">
                  <c:v>97600</c:v>
                </c:pt>
                <c:pt idx="8">
                  <c:v>244000</c:v>
                </c:pt>
                <c:pt idx="9">
                  <c:v>195200</c:v>
                </c:pt>
                <c:pt idx="10">
                  <c:v>97600</c:v>
                </c:pt>
                <c:pt idx="11">
                  <c:v>0</c:v>
                </c:pt>
                <c:pt idx="12">
                  <c:v>0</c:v>
                </c:pt>
                <c:pt idx="13">
                  <c:v>0</c:v>
                </c:pt>
                <c:pt idx="14">
                  <c:v>48800</c:v>
                </c:pt>
                <c:pt idx="15">
                  <c:v>146400</c:v>
                </c:pt>
                <c:pt idx="16">
                  <c:v>244000</c:v>
                </c:pt>
                <c:pt idx="17">
                  <c:v>292800</c:v>
                </c:pt>
                <c:pt idx="18">
                  <c:v>292800</c:v>
                </c:pt>
                <c:pt idx="19">
                  <c:v>244000</c:v>
                </c:pt>
                <c:pt idx="20">
                  <c:v>146400</c:v>
                </c:pt>
                <c:pt idx="21">
                  <c:v>97600</c:v>
                </c:pt>
                <c:pt idx="22">
                  <c:v>48800</c:v>
                </c:pt>
                <c:pt idx="23">
                  <c:v>0</c:v>
                </c:pt>
                <c:pt idx="24">
                  <c:v>0</c:v>
                </c:pt>
                <c:pt idx="25">
                  <c:v>0</c:v>
                </c:pt>
                <c:pt idx="26">
                  <c:v>48800</c:v>
                </c:pt>
                <c:pt idx="27">
                  <c:v>146400</c:v>
                </c:pt>
                <c:pt idx="28">
                  <c:v>244000</c:v>
                </c:pt>
                <c:pt idx="29">
                  <c:v>292800</c:v>
                </c:pt>
                <c:pt idx="30">
                  <c:v>292800</c:v>
                </c:pt>
                <c:pt idx="31">
                  <c:v>244000</c:v>
                </c:pt>
                <c:pt idx="32">
                  <c:v>146400</c:v>
                </c:pt>
                <c:pt idx="33">
                  <c:v>97600</c:v>
                </c:pt>
                <c:pt idx="34">
                  <c:v>48800</c:v>
                </c:pt>
                <c:pt idx="35">
                  <c:v>0</c:v>
                </c:pt>
              </c:numCache>
            </c:numRef>
          </c:val>
          <c:smooth val="0"/>
          <c:extLst>
            <c:ext xmlns:c16="http://schemas.microsoft.com/office/drawing/2014/chart" uri="{C3380CC4-5D6E-409C-BE32-E72D297353CC}">
              <c16:uniqueId val="{00000003-B7C1-4809-8963-ACB0FB4468A9}"/>
            </c:ext>
          </c:extLst>
        </c:ser>
        <c:dLbls>
          <c:showLegendKey val="0"/>
          <c:showVal val="0"/>
          <c:showCatName val="0"/>
          <c:showSerName val="0"/>
          <c:showPercent val="0"/>
          <c:showBubbleSize val="0"/>
        </c:dLbls>
        <c:marker val="1"/>
        <c:smooth val="0"/>
        <c:axId val="277113040"/>
        <c:axId val="277111472"/>
      </c:lineChart>
      <c:dateAx>
        <c:axId val="277113040"/>
        <c:scaling>
          <c:orientation val="minMax"/>
        </c:scaling>
        <c:delete val="0"/>
        <c:axPos val="b"/>
        <c:numFmt formatCode="mmm\-yy" sourceLinked="1"/>
        <c:majorTickMark val="out"/>
        <c:minorTickMark val="none"/>
        <c:tickLblPos val="nextTo"/>
        <c:txPr>
          <a:bodyPr/>
          <a:lstStyle/>
          <a:p>
            <a:pPr>
              <a:defRPr sz="1000" b="0"/>
            </a:pPr>
            <a:endParaRPr lang="en-US"/>
          </a:p>
        </c:txPr>
        <c:crossAx val="277111472"/>
        <c:crosses val="autoZero"/>
        <c:auto val="1"/>
        <c:lblOffset val="100"/>
        <c:baseTimeUnit val="months"/>
      </c:dateAx>
      <c:valAx>
        <c:axId val="277111472"/>
        <c:scaling>
          <c:orientation val="minMax"/>
        </c:scaling>
        <c:delete val="0"/>
        <c:axPos val="l"/>
        <c:majorGridlines/>
        <c:title>
          <c:tx>
            <c:rich>
              <a:bodyPr rot="-5400000" vert="horz"/>
              <a:lstStyle/>
              <a:p>
                <a:pPr>
                  <a:defRPr sz="1600" b="1"/>
                </a:pPr>
                <a:r>
                  <a:rPr lang="en-US" sz="1600" b="1"/>
                  <a:t>$ </a:t>
                </a:r>
              </a:p>
            </c:rich>
          </c:tx>
          <c:layout>
            <c:manualLayout>
              <c:xMode val="edge"/>
              <c:yMode val="edge"/>
              <c:x val="2.77069460390898E-2"/>
              <c:y val="0.52142460048719841"/>
            </c:manualLayout>
          </c:layout>
          <c:overlay val="0"/>
        </c:title>
        <c:numFmt formatCode="#,##0" sourceLinked="1"/>
        <c:majorTickMark val="out"/>
        <c:minorTickMark val="none"/>
        <c:tickLblPos val="nextTo"/>
        <c:txPr>
          <a:bodyPr/>
          <a:lstStyle/>
          <a:p>
            <a:pPr algn="ctr">
              <a:defRPr lang="en-AU" sz="1000" b="0" i="0" u="none" strike="noStrike" kern="1200" baseline="0">
                <a:solidFill>
                  <a:schemeClr val="tx1"/>
                </a:solidFill>
                <a:latin typeface="+mn-lt"/>
                <a:ea typeface="+mn-ea"/>
                <a:cs typeface="+mn-cs"/>
              </a:defRPr>
            </a:pPr>
            <a:endParaRPr lang="en-US"/>
          </a:p>
        </c:txPr>
        <c:crossAx val="277113040"/>
        <c:crosses val="autoZero"/>
        <c:crossBetween val="between"/>
      </c:valAx>
    </c:plotArea>
    <c:legend>
      <c:legendPos val="b"/>
      <c:layout>
        <c:manualLayout>
          <c:xMode val="edge"/>
          <c:yMode val="edge"/>
          <c:x val="2.3196148398688558E-2"/>
          <c:y val="0.70219070818971763"/>
          <c:w val="0.96050969460074898"/>
          <c:h val="0.26504950479516415"/>
        </c:manualLayout>
      </c:layout>
      <c:overlay val="0"/>
      <c:txPr>
        <a:bodyPr/>
        <a:lstStyle/>
        <a:p>
          <a:pPr>
            <a:defRPr sz="1000" b="1"/>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Capital Expenditure</a:t>
            </a:r>
          </a:p>
        </c:rich>
      </c:tx>
      <c:layout>
        <c:manualLayout>
          <c:xMode val="edge"/>
          <c:yMode val="edge"/>
          <c:x val="0.32228421155893627"/>
          <c:y val="8.1908394990998792E-2"/>
        </c:manualLayout>
      </c:layout>
      <c:overlay val="1"/>
    </c:title>
    <c:autoTitleDeleted val="0"/>
    <c:plotArea>
      <c:layout>
        <c:manualLayout>
          <c:layoutTarget val="inner"/>
          <c:xMode val="edge"/>
          <c:yMode val="edge"/>
          <c:x val="0.15403695180461568"/>
          <c:y val="6.8938742905584008E-2"/>
          <c:w val="0.79218718359713547"/>
          <c:h val="0.7214639906438387"/>
        </c:manualLayout>
      </c:layout>
      <c:barChart>
        <c:barDir val="col"/>
        <c:grouping val="stacked"/>
        <c:varyColors val="0"/>
        <c:ser>
          <c:idx val="2"/>
          <c:order val="0"/>
          <c:tx>
            <c:strRef>
              <c:f>'start up campsite'!$A$92</c:f>
              <c:strCache>
                <c:ptCount val="1"/>
                <c:pt idx="0">
                  <c:v>Cashstream 2: Capital Costs</c:v>
                </c:pt>
              </c:strCache>
            </c:strRef>
          </c:tx>
          <c:spPr>
            <a:solidFill>
              <a:srgbClr val="3399FF"/>
            </a:solidFill>
            <a:ln>
              <a:solidFill>
                <a:srgbClr val="00B0F0"/>
              </a:solidFill>
            </a:ln>
          </c:spPr>
          <c:invertIfNegative val="0"/>
          <c:dPt>
            <c:idx val="0"/>
            <c:invertIfNegative val="0"/>
            <c:bubble3D val="0"/>
            <c:spPr>
              <a:solidFill>
                <a:srgbClr val="3399FF"/>
              </a:solidFill>
              <a:ln>
                <a:solidFill>
                  <a:srgbClr val="3399FF"/>
                </a:solidFill>
              </a:ln>
            </c:spPr>
            <c:extLst>
              <c:ext xmlns:c16="http://schemas.microsoft.com/office/drawing/2014/chart" uri="{C3380CC4-5D6E-409C-BE32-E72D297353CC}">
                <c16:uniqueId val="{00000002-0EA9-4C5E-A942-334905F5A46B}"/>
              </c:ext>
            </c:extLst>
          </c:dPt>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campsite'!$D$92:$AM$92</c:f>
              <c:numCache>
                <c:formatCode>#,##0</c:formatCode>
                <c:ptCount val="36"/>
                <c:pt idx="0">
                  <c:v>931000</c:v>
                </c:pt>
                <c:pt idx="1">
                  <c:v>340000</c:v>
                </c:pt>
                <c:pt idx="2">
                  <c:v>240000</c:v>
                </c:pt>
                <c:pt idx="3">
                  <c:v>240000</c:v>
                </c:pt>
                <c:pt idx="4">
                  <c:v>240000</c:v>
                </c:pt>
                <c:pt idx="5">
                  <c:v>215000</c:v>
                </c:pt>
                <c:pt idx="6">
                  <c:v>10000</c:v>
                </c:pt>
                <c:pt idx="7">
                  <c:v>10000</c:v>
                </c:pt>
                <c:pt idx="8">
                  <c:v>10000</c:v>
                </c:pt>
                <c:pt idx="9">
                  <c:v>10000</c:v>
                </c:pt>
                <c:pt idx="10">
                  <c:v>10000</c:v>
                </c:pt>
                <c:pt idx="11">
                  <c:v>10000</c:v>
                </c:pt>
                <c:pt idx="12">
                  <c:v>10000</c:v>
                </c:pt>
                <c:pt idx="13">
                  <c:v>10000</c:v>
                </c:pt>
                <c:pt idx="14">
                  <c:v>10000</c:v>
                </c:pt>
                <c:pt idx="15">
                  <c:v>10000</c:v>
                </c:pt>
                <c:pt idx="16">
                  <c:v>10000</c:v>
                </c:pt>
                <c:pt idx="17">
                  <c:v>10000</c:v>
                </c:pt>
                <c:pt idx="18">
                  <c:v>10000</c:v>
                </c:pt>
                <c:pt idx="19">
                  <c:v>10000</c:v>
                </c:pt>
                <c:pt idx="20">
                  <c:v>10000</c:v>
                </c:pt>
                <c:pt idx="21">
                  <c:v>10000</c:v>
                </c:pt>
                <c:pt idx="22">
                  <c:v>10000</c:v>
                </c:pt>
                <c:pt idx="23">
                  <c:v>10000</c:v>
                </c:pt>
                <c:pt idx="24">
                  <c:v>10000</c:v>
                </c:pt>
                <c:pt idx="25">
                  <c:v>10000</c:v>
                </c:pt>
                <c:pt idx="26">
                  <c:v>10000</c:v>
                </c:pt>
                <c:pt idx="27">
                  <c:v>10000</c:v>
                </c:pt>
                <c:pt idx="28">
                  <c:v>10000</c:v>
                </c:pt>
                <c:pt idx="29">
                  <c:v>10000</c:v>
                </c:pt>
                <c:pt idx="30">
                  <c:v>10000</c:v>
                </c:pt>
                <c:pt idx="31">
                  <c:v>10000</c:v>
                </c:pt>
                <c:pt idx="32">
                  <c:v>10000</c:v>
                </c:pt>
                <c:pt idx="33">
                  <c:v>10000</c:v>
                </c:pt>
                <c:pt idx="34">
                  <c:v>10000</c:v>
                </c:pt>
                <c:pt idx="35">
                  <c:v>10000</c:v>
                </c:pt>
              </c:numCache>
            </c:numRef>
          </c:val>
          <c:extLst>
            <c:ext xmlns:c16="http://schemas.microsoft.com/office/drawing/2014/chart" uri="{C3380CC4-5D6E-409C-BE32-E72D297353CC}">
              <c16:uniqueId val="{00000001-0EA9-4C5E-A942-334905F5A46B}"/>
            </c:ext>
          </c:extLst>
        </c:ser>
        <c:dLbls>
          <c:showLegendKey val="0"/>
          <c:showVal val="0"/>
          <c:showCatName val="0"/>
          <c:showSerName val="0"/>
          <c:showPercent val="0"/>
          <c:showBubbleSize val="0"/>
        </c:dLbls>
        <c:gapWidth val="0"/>
        <c:overlap val="100"/>
        <c:axId val="277108336"/>
        <c:axId val="277109512"/>
      </c:barChart>
      <c:dateAx>
        <c:axId val="277108336"/>
        <c:scaling>
          <c:orientation val="minMax"/>
        </c:scaling>
        <c:delete val="0"/>
        <c:axPos val="b"/>
        <c:numFmt formatCode="mmm\-yy" sourceLinked="1"/>
        <c:majorTickMark val="out"/>
        <c:minorTickMark val="none"/>
        <c:tickLblPos val="nextTo"/>
        <c:txPr>
          <a:bodyPr/>
          <a:lstStyle/>
          <a:p>
            <a:pPr>
              <a:defRPr sz="1000" b="0"/>
            </a:pPr>
            <a:endParaRPr lang="en-US"/>
          </a:p>
        </c:txPr>
        <c:crossAx val="277109512"/>
        <c:crosses val="autoZero"/>
        <c:auto val="1"/>
        <c:lblOffset val="100"/>
        <c:baseTimeUnit val="months"/>
      </c:dateAx>
      <c:valAx>
        <c:axId val="277109512"/>
        <c:scaling>
          <c:orientation val="minMax"/>
        </c:scaling>
        <c:delete val="0"/>
        <c:axPos val="l"/>
        <c:majorGridlines/>
        <c:title>
          <c:tx>
            <c:rich>
              <a:bodyPr rot="-5400000" vert="horz"/>
              <a:lstStyle/>
              <a:p>
                <a:pPr>
                  <a:defRPr sz="1800" b="1"/>
                </a:pPr>
                <a:r>
                  <a:rPr lang="en-US" sz="1800" b="1"/>
                  <a:t>$</a:t>
                </a:r>
              </a:p>
            </c:rich>
          </c:tx>
          <c:layout>
            <c:manualLayout>
              <c:xMode val="edge"/>
              <c:yMode val="edge"/>
              <c:x val="5.1421117322289982E-2"/>
              <c:y val="0.77505634654639277"/>
            </c:manualLayout>
          </c:layout>
          <c:overlay val="0"/>
        </c:title>
        <c:numFmt formatCode="#,##0" sourceLinked="1"/>
        <c:majorTickMark val="out"/>
        <c:minorTickMark val="none"/>
        <c:tickLblPos val="nextTo"/>
        <c:txPr>
          <a:bodyPr/>
          <a:lstStyle/>
          <a:p>
            <a:pPr>
              <a:defRPr sz="1000" b="0"/>
            </a:pPr>
            <a:endParaRPr lang="en-US"/>
          </a:p>
        </c:txPr>
        <c:crossAx val="27710833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Income Tax</a:t>
            </a:r>
          </a:p>
        </c:rich>
      </c:tx>
      <c:layout>
        <c:manualLayout>
          <c:xMode val="edge"/>
          <c:yMode val="edge"/>
          <c:x val="0.16115298099205566"/>
          <c:y val="1.646973692980034E-2"/>
        </c:manualLayout>
      </c:layout>
      <c:overlay val="1"/>
    </c:title>
    <c:autoTitleDeleted val="0"/>
    <c:plotArea>
      <c:layout>
        <c:manualLayout>
          <c:layoutTarget val="inner"/>
          <c:xMode val="edge"/>
          <c:yMode val="edge"/>
          <c:x val="0.17282534657440365"/>
          <c:y val="0.2013455370812392"/>
          <c:w val="0.7964216803794375"/>
          <c:h val="0.47024315497494629"/>
        </c:manualLayout>
      </c:layout>
      <c:barChart>
        <c:barDir val="col"/>
        <c:grouping val="stacked"/>
        <c:varyColors val="0"/>
        <c:ser>
          <c:idx val="1"/>
          <c:order val="0"/>
          <c:tx>
            <c:strRef>
              <c:f>'start up campsite'!$A$177</c:f>
              <c:strCache>
                <c:ptCount val="1"/>
                <c:pt idx="0">
                  <c:v>Income Tax - (indicative)</c:v>
                </c:pt>
              </c:strCache>
            </c:strRef>
          </c:tx>
          <c:spPr>
            <a:solidFill>
              <a:schemeClr val="accent4">
                <a:lumMod val="60000"/>
                <a:lumOff val="40000"/>
              </a:schemeClr>
            </a:solidFill>
          </c:spPr>
          <c:invertIfNegative val="0"/>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campsite'!$D$177:$AM$177</c:f>
              <c:numCache>
                <c:formatCode>#,##0_);[Red]\(#,##0\)</c:formatCode>
                <c:ptCount val="36"/>
                <c:pt idx="0">
                  <c:v>0</c:v>
                </c:pt>
                <c:pt idx="1">
                  <c:v>0</c:v>
                </c:pt>
                <c:pt idx="2">
                  <c:v>0</c:v>
                </c:pt>
                <c:pt idx="3">
                  <c:v>0</c:v>
                </c:pt>
                <c:pt idx="4">
                  <c:v>0</c:v>
                </c:pt>
                <c:pt idx="5">
                  <c:v>0</c:v>
                </c:pt>
                <c:pt idx="6">
                  <c:v>0</c:v>
                </c:pt>
                <c:pt idx="7">
                  <c:v>0</c:v>
                </c:pt>
                <c:pt idx="8">
                  <c:v>25731.577849610261</c:v>
                </c:pt>
                <c:pt idx="9">
                  <c:v>36125.321497956036</c:v>
                </c:pt>
                <c:pt idx="10">
                  <c:v>6833.7684799603185</c:v>
                </c:pt>
                <c:pt idx="11">
                  <c:v>0</c:v>
                </c:pt>
                <c:pt idx="12">
                  <c:v>0</c:v>
                </c:pt>
                <c:pt idx="13">
                  <c:v>0</c:v>
                </c:pt>
                <c:pt idx="14">
                  <c:v>0</c:v>
                </c:pt>
                <c:pt idx="15">
                  <c:v>0</c:v>
                </c:pt>
                <c:pt idx="16">
                  <c:v>37357.240876344185</c:v>
                </c:pt>
                <c:pt idx="17">
                  <c:v>65321.381250954415</c:v>
                </c:pt>
                <c:pt idx="18">
                  <c:v>65312.175099285247</c:v>
                </c:pt>
                <c:pt idx="19">
                  <c:v>50663.234389250101</c:v>
                </c:pt>
                <c:pt idx="20">
                  <c:v>21374.553345325581</c:v>
                </c:pt>
                <c:pt idx="21">
                  <c:v>6726.1263131299811</c:v>
                </c:pt>
                <c:pt idx="22">
                  <c:v>0</c:v>
                </c:pt>
                <c:pt idx="23">
                  <c:v>0</c:v>
                </c:pt>
                <c:pt idx="24">
                  <c:v>0</c:v>
                </c:pt>
                <c:pt idx="25">
                  <c:v>0</c:v>
                </c:pt>
                <c:pt idx="26">
                  <c:v>0</c:v>
                </c:pt>
                <c:pt idx="27">
                  <c:v>0</c:v>
                </c:pt>
                <c:pt idx="28">
                  <c:v>28807.130529630762</c:v>
                </c:pt>
                <c:pt idx="29">
                  <c:v>65227.213975552142</c:v>
                </c:pt>
                <c:pt idx="30">
                  <c:v>65220.837380196332</c:v>
                </c:pt>
                <c:pt idx="31">
                  <c:v>50574.664384924436</c:v>
                </c:pt>
                <c:pt idx="32">
                  <c:v>21288.690512220212</c:v>
                </c:pt>
                <c:pt idx="33">
                  <c:v>6642.9113786351572</c:v>
                </c:pt>
                <c:pt idx="34">
                  <c:v>0</c:v>
                </c:pt>
                <c:pt idx="35">
                  <c:v>0</c:v>
                </c:pt>
              </c:numCache>
            </c:numRef>
          </c:val>
          <c:extLst>
            <c:ext xmlns:c16="http://schemas.microsoft.com/office/drawing/2014/chart" uri="{C3380CC4-5D6E-409C-BE32-E72D297353CC}">
              <c16:uniqueId val="{00000000-0EEF-4C52-AB5C-115EDC575C3C}"/>
            </c:ext>
          </c:extLst>
        </c:ser>
        <c:dLbls>
          <c:showLegendKey val="0"/>
          <c:showVal val="0"/>
          <c:showCatName val="0"/>
          <c:showSerName val="0"/>
          <c:showPercent val="0"/>
          <c:showBubbleSize val="0"/>
        </c:dLbls>
        <c:gapWidth val="0"/>
        <c:overlap val="100"/>
        <c:axId val="277112648"/>
        <c:axId val="277109120"/>
      </c:barChart>
      <c:dateAx>
        <c:axId val="277112648"/>
        <c:scaling>
          <c:orientation val="minMax"/>
        </c:scaling>
        <c:delete val="0"/>
        <c:axPos val="b"/>
        <c:numFmt formatCode="mmm\-yy" sourceLinked="1"/>
        <c:majorTickMark val="out"/>
        <c:minorTickMark val="none"/>
        <c:tickLblPos val="nextTo"/>
        <c:txPr>
          <a:bodyPr/>
          <a:lstStyle/>
          <a:p>
            <a:pPr>
              <a:defRPr sz="1000" b="0"/>
            </a:pPr>
            <a:endParaRPr lang="en-US"/>
          </a:p>
        </c:txPr>
        <c:crossAx val="277109120"/>
        <c:crosses val="autoZero"/>
        <c:auto val="1"/>
        <c:lblOffset val="100"/>
        <c:baseTimeUnit val="months"/>
      </c:dateAx>
      <c:valAx>
        <c:axId val="277109120"/>
        <c:scaling>
          <c:orientation val="minMax"/>
        </c:scaling>
        <c:delete val="0"/>
        <c:axPos val="l"/>
        <c:majorGridlines/>
        <c:title>
          <c:tx>
            <c:rich>
              <a:bodyPr rot="-5400000" vert="horz"/>
              <a:lstStyle/>
              <a:p>
                <a:pPr>
                  <a:defRPr sz="1800" b="1"/>
                </a:pPr>
                <a:r>
                  <a:rPr lang="en-US" sz="1800" b="1"/>
                  <a:t>$ </a:t>
                </a:r>
              </a:p>
            </c:rich>
          </c:tx>
          <c:layout>
            <c:manualLayout>
              <c:xMode val="edge"/>
              <c:yMode val="edge"/>
              <c:x val="3.5380577427821525E-2"/>
              <c:y val="0.7466337711965142"/>
            </c:manualLayout>
          </c:layout>
          <c:overlay val="0"/>
        </c:title>
        <c:numFmt formatCode="#,##0_);[Red]\(#,##0\)" sourceLinked="1"/>
        <c:majorTickMark val="out"/>
        <c:minorTickMark val="none"/>
        <c:tickLblPos val="nextTo"/>
        <c:txPr>
          <a:bodyPr/>
          <a:lstStyle/>
          <a:p>
            <a:pPr>
              <a:defRPr sz="1000" b="0"/>
            </a:pPr>
            <a:endParaRPr lang="en-US"/>
          </a:p>
        </c:txPr>
        <c:crossAx val="277112648"/>
        <c:crosses val="autoZero"/>
        <c:crossBetween val="between"/>
      </c:valAx>
    </c:plotArea>
    <c:legend>
      <c:legendPos val="r"/>
      <c:layout>
        <c:manualLayout>
          <c:xMode val="edge"/>
          <c:yMode val="edge"/>
          <c:x val="0.48355669841714599"/>
          <c:y val="3.665064789537411E-2"/>
          <c:w val="0.51391159248840923"/>
          <c:h val="0.23848205483534876"/>
        </c:manualLayout>
      </c:layout>
      <c:overlay val="0"/>
      <c:txPr>
        <a:bodyPr/>
        <a:lstStyle/>
        <a:p>
          <a:pPr>
            <a:defRPr sz="1000" b="1"/>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Discounted</a:t>
            </a:r>
            <a:r>
              <a:rPr lang="en-US" sz="1400" baseline="0"/>
              <a:t> Cashflow &amp; NPV</a:t>
            </a:r>
            <a:endParaRPr lang="en-US" sz="1400"/>
          </a:p>
        </c:rich>
      </c:tx>
      <c:layout>
        <c:manualLayout>
          <c:xMode val="edge"/>
          <c:yMode val="edge"/>
          <c:x val="0.27011959505061867"/>
          <c:y val="1.1943869456328228E-2"/>
        </c:manualLayout>
      </c:layout>
      <c:overlay val="0"/>
    </c:title>
    <c:autoTitleDeleted val="0"/>
    <c:plotArea>
      <c:layout>
        <c:manualLayout>
          <c:layoutTarget val="inner"/>
          <c:xMode val="edge"/>
          <c:yMode val="edge"/>
          <c:x val="0.25175249960595658"/>
          <c:y val="0.14147683152509166"/>
          <c:w val="0.71977028981037949"/>
          <c:h val="0.62768508775112786"/>
        </c:manualLayout>
      </c:layout>
      <c:barChart>
        <c:barDir val="col"/>
        <c:grouping val="clustered"/>
        <c:varyColors val="0"/>
        <c:ser>
          <c:idx val="1"/>
          <c:order val="1"/>
          <c:tx>
            <c:strRef>
              <c:f>'start up campsite'!$A$202</c:f>
              <c:strCache>
                <c:ptCount val="1"/>
                <c:pt idx="0">
                  <c:v>Discounted Cash Generation - Monthly</c:v>
                </c:pt>
              </c:strCache>
            </c:strRef>
          </c:tx>
          <c:spPr>
            <a:solidFill>
              <a:schemeClr val="accent6">
                <a:lumMod val="40000"/>
                <a:lumOff val="60000"/>
              </a:schemeClr>
            </a:solidFill>
            <a:ln>
              <a:noFill/>
            </a:ln>
          </c:spPr>
          <c:invertIfNegative val="0"/>
          <c:cat>
            <c:numRef>
              <c:f>'start up campsite'!$D$182:$AM$182</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campsite'!$D$202:$AM$202</c:f>
              <c:numCache>
                <c:formatCode>#,##0_);[Red]\(#,##0\)</c:formatCode>
                <c:ptCount val="36"/>
                <c:pt idx="0">
                  <c:v>-928681.19191620627</c:v>
                </c:pt>
                <c:pt idx="1">
                  <c:v>-337465.84505133855</c:v>
                </c:pt>
                <c:pt idx="2">
                  <c:v>-237026.05446977247</c:v>
                </c:pt>
                <c:pt idx="3">
                  <c:v>-235846.82036793284</c:v>
                </c:pt>
                <c:pt idx="4">
                  <c:v>-234673.45310242075</c:v>
                </c:pt>
                <c:pt idx="5">
                  <c:v>-209182.38978864209</c:v>
                </c:pt>
                <c:pt idx="6">
                  <c:v>-47049.701000708119</c:v>
                </c:pt>
                <c:pt idx="7">
                  <c:v>23696.796769596865</c:v>
                </c:pt>
                <c:pt idx="8">
                  <c:v>139238.61492285685</c:v>
                </c:pt>
                <c:pt idx="9">
                  <c:v>82091.430300317574</c:v>
                </c:pt>
                <c:pt idx="10">
                  <c:v>16859.770898749764</c:v>
                </c:pt>
                <c:pt idx="11">
                  <c:v>-26439.20067310529</c:v>
                </c:pt>
                <c:pt idx="12">
                  <c:v>-26307.662361298797</c:v>
                </c:pt>
                <c:pt idx="13">
                  <c:v>-26176.778468954028</c:v>
                </c:pt>
                <c:pt idx="14">
                  <c:v>-22511.657389789892</c:v>
                </c:pt>
                <c:pt idx="15">
                  <c:v>67939.461881114185</c:v>
                </c:pt>
                <c:pt idx="16">
                  <c:v>123085.08058032104</c:v>
                </c:pt>
                <c:pt idx="17">
                  <c:v>141567.08735995161</c:v>
                </c:pt>
                <c:pt idx="18">
                  <c:v>140871.16820800261</c:v>
                </c:pt>
                <c:pt idx="19">
                  <c:v>109184.28392731247</c:v>
                </c:pt>
                <c:pt idx="20">
                  <c:v>46969.025693218886</c:v>
                </c:pt>
                <c:pt idx="21">
                  <c:v>16056.406576603766</c:v>
                </c:pt>
                <c:pt idx="22">
                  <c:v>-21631.118498898875</c:v>
                </c:pt>
                <c:pt idx="23">
                  <c:v>-24903.22429049663</c:v>
                </c:pt>
                <c:pt idx="24">
                  <c:v>-24779.327652235457</c:v>
                </c:pt>
                <c:pt idx="25">
                  <c:v>-24656.047415159661</c:v>
                </c:pt>
                <c:pt idx="26">
                  <c:v>-21203.850300172846</c:v>
                </c:pt>
                <c:pt idx="27">
                  <c:v>63992.541919850628</c:v>
                </c:pt>
                <c:pt idx="28">
                  <c:v>123351.67704104075</c:v>
                </c:pt>
                <c:pt idx="29">
                  <c:v>133424.07877833414</c:v>
                </c:pt>
                <c:pt idx="30">
                  <c:v>132765.75415471979</c:v>
                </c:pt>
                <c:pt idx="31">
                  <c:v>102916.95303912692</c:v>
                </c:pt>
                <c:pt idx="32">
                  <c:v>44313.390446630445</c:v>
                </c:pt>
                <c:pt idx="33">
                  <c:v>15194.025716558808</c:v>
                </c:pt>
                <c:pt idx="34">
                  <c:v>-20374.466017059091</c:v>
                </c:pt>
                <c:pt idx="35">
                  <c:v>-61154.394113947368</c:v>
                </c:pt>
              </c:numCache>
            </c:numRef>
          </c:val>
          <c:extLst>
            <c:ext xmlns:c16="http://schemas.microsoft.com/office/drawing/2014/chart" uri="{C3380CC4-5D6E-409C-BE32-E72D297353CC}">
              <c16:uniqueId val="{00000000-8F59-4BB5-9FCA-6D001EA54D5D}"/>
            </c:ext>
          </c:extLst>
        </c:ser>
        <c:dLbls>
          <c:showLegendKey val="0"/>
          <c:showVal val="0"/>
          <c:showCatName val="0"/>
          <c:showSerName val="0"/>
          <c:showPercent val="0"/>
          <c:showBubbleSize val="0"/>
        </c:dLbls>
        <c:gapWidth val="20"/>
        <c:axId val="275021336"/>
        <c:axId val="277108728"/>
      </c:barChart>
      <c:lineChart>
        <c:grouping val="standard"/>
        <c:varyColors val="0"/>
        <c:ser>
          <c:idx val="0"/>
          <c:order val="0"/>
          <c:tx>
            <c:strRef>
              <c:f>'start up campsite'!$A$203</c:f>
              <c:strCache>
                <c:ptCount val="1"/>
                <c:pt idx="0">
                  <c:v>Discounted Cash Generation - Cumulative (NPV)</c:v>
                </c:pt>
              </c:strCache>
            </c:strRef>
          </c:tx>
          <c:spPr>
            <a:ln w="38100">
              <a:solidFill>
                <a:schemeClr val="accent6">
                  <a:lumMod val="75000"/>
                </a:schemeClr>
              </a:solidFill>
            </a:ln>
          </c:spPr>
          <c:marker>
            <c:symbol val="none"/>
          </c:marker>
          <c:cat>
            <c:numRef>
              <c:f>'start up campsite'!$D$56:$AM$56</c:f>
              <c:numCache>
                <c:formatCode>mmm\-yy</c:formatCode>
                <c:ptCount val="36"/>
                <c:pt idx="0">
                  <c:v>46388</c:v>
                </c:pt>
                <c:pt idx="1">
                  <c:v>46419</c:v>
                </c:pt>
                <c:pt idx="2">
                  <c:v>46447</c:v>
                </c:pt>
                <c:pt idx="3">
                  <c:v>46478</c:v>
                </c:pt>
                <c:pt idx="4">
                  <c:v>46508</c:v>
                </c:pt>
                <c:pt idx="5">
                  <c:v>46539</c:v>
                </c:pt>
                <c:pt idx="6">
                  <c:v>46569</c:v>
                </c:pt>
                <c:pt idx="7">
                  <c:v>46600</c:v>
                </c:pt>
                <c:pt idx="8">
                  <c:v>46631</c:v>
                </c:pt>
                <c:pt idx="9">
                  <c:v>46661</c:v>
                </c:pt>
                <c:pt idx="10">
                  <c:v>46692</c:v>
                </c:pt>
                <c:pt idx="11">
                  <c:v>46722</c:v>
                </c:pt>
                <c:pt idx="12">
                  <c:v>46753</c:v>
                </c:pt>
                <c:pt idx="13">
                  <c:v>46784</c:v>
                </c:pt>
                <c:pt idx="14">
                  <c:v>46813</c:v>
                </c:pt>
                <c:pt idx="15">
                  <c:v>46844</c:v>
                </c:pt>
                <c:pt idx="16">
                  <c:v>46874</c:v>
                </c:pt>
                <c:pt idx="17">
                  <c:v>46905</c:v>
                </c:pt>
                <c:pt idx="18">
                  <c:v>46935</c:v>
                </c:pt>
                <c:pt idx="19">
                  <c:v>46966</c:v>
                </c:pt>
                <c:pt idx="20">
                  <c:v>46997</c:v>
                </c:pt>
                <c:pt idx="21">
                  <c:v>47027</c:v>
                </c:pt>
                <c:pt idx="22">
                  <c:v>47058</c:v>
                </c:pt>
                <c:pt idx="23">
                  <c:v>47088</c:v>
                </c:pt>
                <c:pt idx="24">
                  <c:v>47119</c:v>
                </c:pt>
                <c:pt idx="25">
                  <c:v>47150</c:v>
                </c:pt>
                <c:pt idx="26">
                  <c:v>47178</c:v>
                </c:pt>
                <c:pt idx="27">
                  <c:v>47209</c:v>
                </c:pt>
                <c:pt idx="28">
                  <c:v>47239</c:v>
                </c:pt>
                <c:pt idx="29">
                  <c:v>47270</c:v>
                </c:pt>
                <c:pt idx="30">
                  <c:v>47300</c:v>
                </c:pt>
                <c:pt idx="31">
                  <c:v>47331</c:v>
                </c:pt>
                <c:pt idx="32">
                  <c:v>47362</c:v>
                </c:pt>
                <c:pt idx="33">
                  <c:v>47392</c:v>
                </c:pt>
                <c:pt idx="34">
                  <c:v>47423</c:v>
                </c:pt>
                <c:pt idx="35">
                  <c:v>47453</c:v>
                </c:pt>
              </c:numCache>
            </c:numRef>
          </c:cat>
          <c:val>
            <c:numRef>
              <c:f>'start up campsite'!$D$203:$AM$203</c:f>
              <c:numCache>
                <c:formatCode>#,##0_);[Red]\(#,##0\)</c:formatCode>
                <c:ptCount val="36"/>
                <c:pt idx="0">
                  <c:v>-928681.19191620627</c:v>
                </c:pt>
                <c:pt idx="1">
                  <c:v>-1266147.0369675448</c:v>
                </c:pt>
                <c:pt idx="2">
                  <c:v>-1503173.0914373172</c:v>
                </c:pt>
                <c:pt idx="3">
                  <c:v>-1739019.91180525</c:v>
                </c:pt>
                <c:pt idx="4">
                  <c:v>-1973693.3649076708</c:v>
                </c:pt>
                <c:pt idx="5">
                  <c:v>-2182875.7546963128</c:v>
                </c:pt>
                <c:pt idx="6">
                  <c:v>-2229925.455697021</c:v>
                </c:pt>
                <c:pt idx="7">
                  <c:v>-2206228.6589274243</c:v>
                </c:pt>
                <c:pt idx="8">
                  <c:v>-2066990.0440045674</c:v>
                </c:pt>
                <c:pt idx="9">
                  <c:v>-1984898.61370425</c:v>
                </c:pt>
                <c:pt idx="10">
                  <c:v>-1968038.8428055001</c:v>
                </c:pt>
                <c:pt idx="11">
                  <c:v>-1994478.0434786053</c:v>
                </c:pt>
                <c:pt idx="12">
                  <c:v>-2020785.705839904</c:v>
                </c:pt>
                <c:pt idx="13">
                  <c:v>-2046962.4843088579</c:v>
                </c:pt>
                <c:pt idx="14">
                  <c:v>-2069474.1416986478</c:v>
                </c:pt>
                <c:pt idx="15">
                  <c:v>-2001534.6798175336</c:v>
                </c:pt>
                <c:pt idx="16">
                  <c:v>-1878449.5992372124</c:v>
                </c:pt>
                <c:pt idx="17">
                  <c:v>-1736882.5118772609</c:v>
                </c:pt>
                <c:pt idx="18">
                  <c:v>-1596011.3436692583</c:v>
                </c:pt>
                <c:pt idx="19">
                  <c:v>-1486827.0597419459</c:v>
                </c:pt>
                <c:pt idx="20">
                  <c:v>-1439858.034048727</c:v>
                </c:pt>
                <c:pt idx="21">
                  <c:v>-1423801.6274721234</c:v>
                </c:pt>
                <c:pt idx="22">
                  <c:v>-1445432.7459710222</c:v>
                </c:pt>
                <c:pt idx="23">
                  <c:v>-1470335.9702615188</c:v>
                </c:pt>
                <c:pt idx="24">
                  <c:v>-1495115.2979137544</c:v>
                </c:pt>
                <c:pt idx="25">
                  <c:v>-1519771.345328914</c:v>
                </c:pt>
                <c:pt idx="26">
                  <c:v>-1540975.1956290868</c:v>
                </c:pt>
                <c:pt idx="27">
                  <c:v>-1476982.6537092361</c:v>
                </c:pt>
                <c:pt idx="28">
                  <c:v>-1353630.9766681953</c:v>
                </c:pt>
                <c:pt idx="29">
                  <c:v>-1220206.8978898611</c:v>
                </c:pt>
                <c:pt idx="30">
                  <c:v>-1087441.1437351413</c:v>
                </c:pt>
                <c:pt idx="31">
                  <c:v>-984524.19069601432</c:v>
                </c:pt>
                <c:pt idx="32">
                  <c:v>-940210.8002493839</c:v>
                </c:pt>
                <c:pt idx="33">
                  <c:v>-925016.7745328251</c:v>
                </c:pt>
                <c:pt idx="34">
                  <c:v>-945391.24054988415</c:v>
                </c:pt>
                <c:pt idx="35">
                  <c:v>-1006545.6346638316</c:v>
                </c:pt>
              </c:numCache>
            </c:numRef>
          </c:val>
          <c:smooth val="0"/>
          <c:extLst>
            <c:ext xmlns:c16="http://schemas.microsoft.com/office/drawing/2014/chart" uri="{C3380CC4-5D6E-409C-BE32-E72D297353CC}">
              <c16:uniqueId val="{00000001-8F59-4BB5-9FCA-6D001EA54D5D}"/>
            </c:ext>
          </c:extLst>
        </c:ser>
        <c:dLbls>
          <c:showLegendKey val="0"/>
          <c:showVal val="0"/>
          <c:showCatName val="0"/>
          <c:showSerName val="0"/>
          <c:showPercent val="0"/>
          <c:showBubbleSize val="0"/>
        </c:dLbls>
        <c:marker val="1"/>
        <c:smooth val="0"/>
        <c:axId val="275021336"/>
        <c:axId val="277108728"/>
      </c:lineChart>
      <c:dateAx>
        <c:axId val="275021336"/>
        <c:scaling>
          <c:orientation val="minMax"/>
        </c:scaling>
        <c:delete val="0"/>
        <c:axPos val="b"/>
        <c:numFmt formatCode="mmm\-yy" sourceLinked="1"/>
        <c:majorTickMark val="out"/>
        <c:minorTickMark val="none"/>
        <c:tickLblPos val="nextTo"/>
        <c:txPr>
          <a:bodyPr/>
          <a:lstStyle/>
          <a:p>
            <a:pPr>
              <a:defRPr sz="1000" b="0"/>
            </a:pPr>
            <a:endParaRPr lang="en-US"/>
          </a:p>
        </c:txPr>
        <c:crossAx val="277108728"/>
        <c:crosses val="autoZero"/>
        <c:auto val="1"/>
        <c:lblOffset val="100"/>
        <c:baseTimeUnit val="months"/>
      </c:dateAx>
      <c:valAx>
        <c:axId val="277108728"/>
        <c:scaling>
          <c:orientation val="minMax"/>
        </c:scaling>
        <c:delete val="0"/>
        <c:axPos val="l"/>
        <c:majorGridlines/>
        <c:title>
          <c:tx>
            <c:rich>
              <a:bodyPr rot="-5400000" vert="horz"/>
              <a:lstStyle/>
              <a:p>
                <a:pPr>
                  <a:defRPr sz="1800"/>
                </a:pPr>
                <a:r>
                  <a:rPr lang="en-US" sz="1800"/>
                  <a:t>$</a:t>
                </a:r>
              </a:p>
            </c:rich>
          </c:tx>
          <c:layout>
            <c:manualLayout>
              <c:xMode val="edge"/>
              <c:yMode val="edge"/>
              <c:x val="2.885194206839253E-2"/>
              <c:y val="0.20191414009387545"/>
            </c:manualLayout>
          </c:layout>
          <c:overlay val="0"/>
        </c:title>
        <c:numFmt formatCode="#,##0" sourceLinked="0"/>
        <c:majorTickMark val="out"/>
        <c:minorTickMark val="none"/>
        <c:tickLblPos val="nextTo"/>
        <c:txPr>
          <a:bodyPr/>
          <a:lstStyle/>
          <a:p>
            <a:pPr>
              <a:defRPr sz="1000" b="0"/>
            </a:pPr>
            <a:endParaRPr lang="en-US"/>
          </a:p>
        </c:txPr>
        <c:crossAx val="275021336"/>
        <c:crosses val="autoZero"/>
        <c:crossBetween val="between"/>
      </c:valAx>
    </c:plotArea>
    <c:legend>
      <c:legendPos val="r"/>
      <c:layout>
        <c:manualLayout>
          <c:xMode val="edge"/>
          <c:yMode val="edge"/>
          <c:x val="3.9430314016503334E-2"/>
          <c:y val="0.77449544092159583"/>
          <c:w val="0.89125908721841429"/>
          <c:h val="0.20872304635953656"/>
        </c:manualLayout>
      </c:layout>
      <c:overlay val="0"/>
      <c:txPr>
        <a:bodyPr/>
        <a:lstStyle/>
        <a:p>
          <a:pPr>
            <a:defRPr sz="1000" b="1" i="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114300</xdr:colOff>
      <xdr:row>2</xdr:row>
      <xdr:rowOff>6350</xdr:rowOff>
    </xdr:from>
    <xdr:to>
      <xdr:col>16</xdr:col>
      <xdr:colOff>349250</xdr:colOff>
      <xdr:row>15</xdr:row>
      <xdr:rowOff>161925</xdr:rowOff>
    </xdr:to>
    <xdr:sp macro="" textlink="">
      <xdr:nvSpPr>
        <xdr:cNvPr id="4" name="TextBox 3">
          <a:extLst>
            <a:ext uri="{FF2B5EF4-FFF2-40B4-BE49-F238E27FC236}">
              <a16:creationId xmlns:a16="http://schemas.microsoft.com/office/drawing/2014/main" id="{275401E4-FD6A-480C-B436-4C2FE52B7DF7}"/>
            </a:ext>
          </a:extLst>
        </xdr:cNvPr>
        <xdr:cNvSpPr txBox="1"/>
      </xdr:nvSpPr>
      <xdr:spPr>
        <a:xfrm>
          <a:off x="6648450" y="520700"/>
          <a:ext cx="4502150" cy="3003550"/>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en-AU" sz="1200">
              <a:solidFill>
                <a:srgbClr val="00B050"/>
              </a:solidFill>
              <a:latin typeface="+mn-lt"/>
              <a:ea typeface="+mn-ea"/>
              <a:cs typeface="+mn-cs"/>
            </a:rPr>
            <a:t>This is a preliminary assessment of the first 3 years of the start-up of a tourist campsite.  </a:t>
          </a:r>
          <a:r>
            <a:rPr lang="en-AU" sz="1200" b="1">
              <a:solidFill>
                <a:srgbClr val="00B050"/>
              </a:solidFill>
              <a:latin typeface="+mn-lt"/>
              <a:ea typeface="+mn-ea"/>
              <a:cs typeface="+mn-cs"/>
            </a:rPr>
            <a:t>It is easy to follow!</a:t>
          </a:r>
        </a:p>
        <a:p>
          <a:pPr marL="0" indent="0" algn="l"/>
          <a:endParaRPr lang="en-AU" sz="1200">
            <a:solidFill>
              <a:srgbClr val="00B050"/>
            </a:solidFill>
            <a:latin typeface="+mn-lt"/>
            <a:ea typeface="+mn-ea"/>
            <a:cs typeface="+mn-cs"/>
          </a:endParaRPr>
        </a:p>
        <a:p>
          <a:pPr marL="0" indent="0" algn="l"/>
          <a:r>
            <a:rPr lang="en-AU" sz="1200">
              <a:solidFill>
                <a:srgbClr val="00B050"/>
              </a:solidFill>
              <a:latin typeface="+mn-lt"/>
              <a:ea typeface="+mn-ea"/>
              <a:cs typeface="+mn-cs"/>
            </a:rPr>
            <a:t>It indicates that the business is unlikely to be attractive unless the owners are prepared to pump in cash during the first three seasons </a:t>
          </a:r>
          <a:r>
            <a:rPr lang="en-AU" sz="1200" baseline="0">
              <a:solidFill>
                <a:srgbClr val="00B050"/>
              </a:solidFill>
              <a:latin typeface="+mn-lt"/>
              <a:ea typeface="+mn-ea"/>
              <a:cs typeface="+mn-cs"/>
            </a:rPr>
            <a:t>and </a:t>
          </a:r>
          <a:r>
            <a:rPr lang="en-AU" sz="1200">
              <a:solidFill>
                <a:srgbClr val="00B050"/>
              </a:solidFill>
              <a:latin typeface="+mn-lt"/>
              <a:ea typeface="+mn-ea"/>
              <a:cs typeface="+mn-cs"/>
            </a:rPr>
            <a:t>past the 36 months.</a:t>
          </a:r>
        </a:p>
        <a:p>
          <a:pPr marL="0" indent="0" algn="l"/>
          <a:endParaRPr lang="en-AU" sz="1200">
            <a:solidFill>
              <a:srgbClr val="00B050"/>
            </a:solidFill>
            <a:latin typeface="+mn-lt"/>
            <a:ea typeface="+mn-ea"/>
            <a:cs typeface="+mn-cs"/>
          </a:endParaRPr>
        </a:p>
        <a:p>
          <a:pPr marL="0" indent="0" algn="l"/>
          <a:r>
            <a:rPr lang="en-AU" sz="1200">
              <a:solidFill>
                <a:srgbClr val="00B050"/>
              </a:solidFill>
              <a:latin typeface="+mn-lt"/>
              <a:ea typeface="+mn-ea"/>
              <a:cs typeface="+mn-cs"/>
            </a:rPr>
            <a:t>Revenue is the most important cashstream but as usual, the least known.  Evaluations now need to be tested with increased campsites sold each night and/or</a:t>
          </a:r>
          <a:r>
            <a:rPr lang="en-AU" sz="1200" baseline="0">
              <a:solidFill>
                <a:srgbClr val="00B050"/>
              </a:solidFill>
              <a:latin typeface="+mn-lt"/>
              <a:ea typeface="+mn-ea"/>
              <a:cs typeface="+mn-cs"/>
            </a:rPr>
            <a:t> increased</a:t>
          </a:r>
          <a:r>
            <a:rPr lang="en-AU" sz="1200">
              <a:solidFill>
                <a:srgbClr val="00B050"/>
              </a:solidFill>
              <a:latin typeface="+mn-lt"/>
              <a:ea typeface="+mn-ea"/>
              <a:cs typeface="+mn-cs"/>
            </a:rPr>
            <a:t> prices so as to get an attractive business.  But how</a:t>
          </a:r>
          <a:r>
            <a:rPr lang="en-AU" sz="1200" baseline="0">
              <a:solidFill>
                <a:srgbClr val="00B050"/>
              </a:solidFill>
              <a:latin typeface="+mn-lt"/>
              <a:ea typeface="+mn-ea"/>
              <a:cs typeface="+mn-cs"/>
            </a:rPr>
            <a:t> much confidence is there in increasing each of these?</a:t>
          </a:r>
        </a:p>
        <a:p>
          <a:pPr marL="0" indent="0" algn="l"/>
          <a:endParaRPr lang="en-AU" sz="1200" baseline="0">
            <a:solidFill>
              <a:srgbClr val="00B050"/>
            </a:solidFill>
            <a:latin typeface="+mn-lt"/>
            <a:ea typeface="+mn-ea"/>
            <a:cs typeface="+mn-cs"/>
          </a:endParaRPr>
        </a:p>
        <a:p>
          <a:pPr marL="0" indent="0" algn="l"/>
          <a:r>
            <a:rPr lang="en-AU" sz="1200" baseline="0">
              <a:solidFill>
                <a:srgbClr val="00B050"/>
              </a:solidFill>
              <a:latin typeface="+mn-lt"/>
              <a:ea typeface="+mn-ea"/>
              <a:cs typeface="+mn-cs"/>
            </a:rPr>
            <a:t>On the next worksheet, the graph of the four cashstreams reveals the anatomy of the whole business </a:t>
          </a:r>
          <a:r>
            <a:rPr lang="en-AU" sz="1200" b="1" baseline="0">
              <a:solidFill>
                <a:srgbClr val="00B050"/>
              </a:solidFill>
              <a:latin typeface="+mn-lt"/>
              <a:ea typeface="+mn-ea"/>
              <a:cs typeface="+mn-cs"/>
            </a:rPr>
            <a:t>--&gt;</a:t>
          </a:r>
          <a:endParaRPr lang="en-AU" sz="1200" b="1">
            <a:solidFill>
              <a:srgbClr val="00B050"/>
            </a:solidFill>
            <a:latin typeface="+mn-lt"/>
            <a:ea typeface="+mn-ea"/>
            <a:cs typeface="+mn-cs"/>
          </a:endParaRPr>
        </a:p>
      </xdr:txBody>
    </xdr:sp>
    <xdr:clientData/>
  </xdr:twoCellAnchor>
  <xdr:twoCellAnchor>
    <xdr:from>
      <xdr:col>1</xdr:col>
      <xdr:colOff>171450</xdr:colOff>
      <xdr:row>3</xdr:row>
      <xdr:rowOff>38100</xdr:rowOff>
    </xdr:from>
    <xdr:to>
      <xdr:col>9</xdr:col>
      <xdr:colOff>19050</xdr:colOff>
      <xdr:row>3</xdr:row>
      <xdr:rowOff>104775</xdr:rowOff>
    </xdr:to>
    <xdr:cxnSp macro="">
      <xdr:nvCxnSpPr>
        <xdr:cNvPr id="5" name="Straight Arrow Connector 4">
          <a:extLst>
            <a:ext uri="{FF2B5EF4-FFF2-40B4-BE49-F238E27FC236}">
              <a16:creationId xmlns:a16="http://schemas.microsoft.com/office/drawing/2014/main" id="{59CDBD39-FC94-4B77-9066-5E10A479A222}"/>
            </a:ext>
          </a:extLst>
        </xdr:cNvPr>
        <xdr:cNvCxnSpPr/>
      </xdr:nvCxnSpPr>
      <xdr:spPr>
        <a:xfrm flipV="1">
          <a:off x="1152525" y="771525"/>
          <a:ext cx="5400675" cy="66675"/>
        </a:xfrm>
        <a:prstGeom prst="straightConnector1">
          <a:avLst/>
        </a:prstGeom>
        <a:ln w="28575">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158750</xdr:colOff>
      <xdr:row>26</xdr:row>
      <xdr:rowOff>114300</xdr:rowOff>
    </xdr:from>
    <xdr:to>
      <xdr:col>2</xdr:col>
      <xdr:colOff>942975</xdr:colOff>
      <xdr:row>41</xdr:row>
      <xdr:rowOff>9525</xdr:rowOff>
    </xdr:to>
    <xdr:graphicFrame macro="">
      <xdr:nvGraphicFramePr>
        <xdr:cNvPr id="8322371" name="Chart 1">
          <a:extLst>
            <a:ext uri="{FF2B5EF4-FFF2-40B4-BE49-F238E27FC236}">
              <a16:creationId xmlns:a16="http://schemas.microsoft.com/office/drawing/2014/main" id="{00000000-0008-0000-0100-000043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2028825</xdr:colOff>
      <xdr:row>15</xdr:row>
      <xdr:rowOff>63500</xdr:rowOff>
    </xdr:from>
    <xdr:to>
      <xdr:col>4</xdr:col>
      <xdr:colOff>19050</xdr:colOff>
      <xdr:row>27</xdr:row>
      <xdr:rowOff>152400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flipH="1">
          <a:off x="2028825" y="3654425"/>
          <a:ext cx="3114675" cy="2851150"/>
        </a:xfrm>
        <a:prstGeom prst="straightConnector1">
          <a:avLst/>
        </a:prstGeom>
        <a:ln w="28575">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692150</xdr:colOff>
      <xdr:row>4</xdr:row>
      <xdr:rowOff>82551</xdr:rowOff>
    </xdr:from>
    <xdr:to>
      <xdr:col>12</xdr:col>
      <xdr:colOff>44450</xdr:colOff>
      <xdr:row>16</xdr:row>
      <xdr:rowOff>273050</xdr:rowOff>
    </xdr:to>
    <xdr:sp macro="" textlink="">
      <xdr:nvSpPr>
        <xdr:cNvPr id="13" name="TextBox 12">
          <a:extLst>
            <a:ext uri="{FF2B5EF4-FFF2-40B4-BE49-F238E27FC236}">
              <a16:creationId xmlns:a16="http://schemas.microsoft.com/office/drawing/2014/main" id="{1131D176-06C7-4042-B0D5-C843CF3F7B35}"/>
            </a:ext>
          </a:extLst>
        </xdr:cNvPr>
        <xdr:cNvSpPr txBox="1"/>
      </xdr:nvSpPr>
      <xdr:spPr>
        <a:xfrm>
          <a:off x="5111750" y="1485901"/>
          <a:ext cx="5695950" cy="2533649"/>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en-AU" sz="1200">
              <a:solidFill>
                <a:srgbClr val="00B050"/>
              </a:solidFill>
              <a:latin typeface="+mn-lt"/>
              <a:ea typeface="+mn-ea"/>
              <a:cs typeface="+mn-cs"/>
            </a:rPr>
            <a:t>This is a preliminary assessment of the first 3 years of the start-up of a tourist campsite.</a:t>
          </a:r>
        </a:p>
        <a:p>
          <a:pPr marL="0" indent="0" algn="l"/>
          <a:endParaRPr lang="en-AU" sz="1200">
            <a:solidFill>
              <a:srgbClr val="00B050"/>
            </a:solidFill>
            <a:latin typeface="+mn-lt"/>
            <a:ea typeface="+mn-ea"/>
            <a:cs typeface="+mn-cs"/>
          </a:endParaRPr>
        </a:p>
        <a:p>
          <a:pPr marL="0" indent="0" algn="l"/>
          <a:r>
            <a:rPr lang="en-AU" sz="1200">
              <a:solidFill>
                <a:srgbClr val="00B050"/>
              </a:solidFill>
              <a:latin typeface="+mn-lt"/>
              <a:ea typeface="+mn-ea"/>
              <a:cs typeface="+mn-cs"/>
            </a:rPr>
            <a:t>It indicates that the business is unlikely to be attractive unless the owners are prepared to keep pumping in cash past the 36 months.</a:t>
          </a:r>
        </a:p>
        <a:p>
          <a:pPr marL="0" indent="0" algn="l"/>
          <a:endParaRPr lang="en-AU" sz="1200">
            <a:solidFill>
              <a:srgbClr val="00B050"/>
            </a:solidFill>
            <a:latin typeface="+mn-lt"/>
            <a:ea typeface="+mn-ea"/>
            <a:cs typeface="+mn-cs"/>
          </a:endParaRPr>
        </a:p>
        <a:p>
          <a:pPr marL="0" indent="0" algn="l"/>
          <a:r>
            <a:rPr lang="en-AU" sz="1200">
              <a:solidFill>
                <a:srgbClr val="00B050"/>
              </a:solidFill>
              <a:latin typeface="+mn-lt"/>
              <a:ea typeface="+mn-ea"/>
              <a:cs typeface="+mn-cs"/>
            </a:rPr>
            <a:t>Revenue is the most important cashstream but as usual, the least known.  Evaluations now need to be completed by increasing the campsites sold each night and the price charged to get an attractive business.  But how</a:t>
          </a:r>
          <a:r>
            <a:rPr lang="en-AU" sz="1200" baseline="0">
              <a:solidFill>
                <a:srgbClr val="00B050"/>
              </a:solidFill>
              <a:latin typeface="+mn-lt"/>
              <a:ea typeface="+mn-ea"/>
              <a:cs typeface="+mn-cs"/>
            </a:rPr>
            <a:t> much confidence is there in increasing each of these?</a:t>
          </a:r>
        </a:p>
        <a:p>
          <a:pPr marL="0" indent="0" algn="l"/>
          <a:endParaRPr lang="en-AU" sz="1200" baseline="0">
            <a:solidFill>
              <a:srgbClr val="00B050"/>
            </a:solidFill>
            <a:latin typeface="+mn-lt"/>
            <a:ea typeface="+mn-ea"/>
            <a:cs typeface="+mn-cs"/>
          </a:endParaRPr>
        </a:p>
        <a:p>
          <a:pPr marL="0" indent="0" algn="l"/>
          <a:r>
            <a:rPr lang="en-AU" sz="1200" baseline="0">
              <a:solidFill>
                <a:srgbClr val="00B050"/>
              </a:solidFill>
              <a:latin typeface="+mn-lt"/>
              <a:ea typeface="+mn-ea"/>
              <a:cs typeface="+mn-cs"/>
            </a:rPr>
            <a:t>The graph of the four cashstreams reveals the anatomy of the whole business.</a:t>
          </a:r>
        </a:p>
        <a:p>
          <a:pPr marL="0" indent="0" algn="l"/>
          <a:endParaRPr lang="en-AU" sz="1200">
            <a:solidFill>
              <a:srgbClr val="00B050"/>
            </a:solidFill>
            <a:latin typeface="+mn-lt"/>
            <a:ea typeface="+mn-ea"/>
            <a:cs typeface="+mn-cs"/>
          </a:endParaRPr>
        </a:p>
      </xdr:txBody>
    </xdr:sp>
    <xdr:clientData/>
  </xdr:twoCellAnchor>
  <xdr:twoCellAnchor>
    <xdr:from>
      <xdr:col>3</xdr:col>
      <xdr:colOff>74296</xdr:colOff>
      <xdr:row>27</xdr:row>
      <xdr:rowOff>106680</xdr:rowOff>
    </xdr:from>
    <xdr:to>
      <xdr:col>9</xdr:col>
      <xdr:colOff>25401</xdr:colOff>
      <xdr:row>39</xdr:row>
      <xdr:rowOff>57151</xdr:rowOff>
    </xdr:to>
    <xdr:graphicFrame macro="">
      <xdr:nvGraphicFramePr>
        <xdr:cNvPr id="8322372" name="Chart 2">
          <a:extLst>
            <a:ext uri="{FF2B5EF4-FFF2-40B4-BE49-F238E27FC236}">
              <a16:creationId xmlns:a16="http://schemas.microsoft.com/office/drawing/2014/main" id="{00000000-0008-0000-0100-000044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133351</xdr:colOff>
      <xdr:row>17</xdr:row>
      <xdr:rowOff>92709</xdr:rowOff>
    </xdr:from>
    <xdr:to>
      <xdr:col>2</xdr:col>
      <xdr:colOff>933450</xdr:colOff>
      <xdr:row>26</xdr:row>
      <xdr:rowOff>66675</xdr:rowOff>
    </xdr:to>
    <xdr:graphicFrame macro="">
      <xdr:nvGraphicFramePr>
        <xdr:cNvPr id="8322374" name="Chart 3">
          <a:extLst>
            <a:ext uri="{FF2B5EF4-FFF2-40B4-BE49-F238E27FC236}">
              <a16:creationId xmlns:a16="http://schemas.microsoft.com/office/drawing/2014/main" id="{00000000-0008-0000-0100-000046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182247</xdr:colOff>
      <xdr:row>41</xdr:row>
      <xdr:rowOff>121285</xdr:rowOff>
    </xdr:from>
    <xdr:to>
      <xdr:col>2</xdr:col>
      <xdr:colOff>958851</xdr:colOff>
      <xdr:row>54</xdr:row>
      <xdr:rowOff>161925</xdr:rowOff>
    </xdr:to>
    <xdr:graphicFrame macro="">
      <xdr:nvGraphicFramePr>
        <xdr:cNvPr id="8322375" name="Chart 2">
          <a:extLst>
            <a:ext uri="{FF2B5EF4-FFF2-40B4-BE49-F238E27FC236}">
              <a16:creationId xmlns:a16="http://schemas.microsoft.com/office/drawing/2014/main" id="{00000000-0008-0000-0100-000047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73660</xdr:colOff>
      <xdr:row>39</xdr:row>
      <xdr:rowOff>123191</xdr:rowOff>
    </xdr:from>
    <xdr:to>
      <xdr:col>8</xdr:col>
      <xdr:colOff>415925</xdr:colOff>
      <xdr:row>46</xdr:row>
      <xdr:rowOff>152400</xdr:rowOff>
    </xdr:to>
    <xdr:graphicFrame macro="">
      <xdr:nvGraphicFramePr>
        <xdr:cNvPr id="8322376" name="Chart 2">
          <a:extLst>
            <a:ext uri="{FF2B5EF4-FFF2-40B4-BE49-F238E27FC236}">
              <a16:creationId xmlns:a16="http://schemas.microsoft.com/office/drawing/2014/main" id="{00000000-0008-0000-0100-000048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82551</xdr:colOff>
      <xdr:row>47</xdr:row>
      <xdr:rowOff>2541</xdr:rowOff>
    </xdr:from>
    <xdr:to>
      <xdr:col>8</xdr:col>
      <xdr:colOff>390525</xdr:colOff>
      <xdr:row>54</xdr:row>
      <xdr:rowOff>190500</xdr:rowOff>
    </xdr:to>
    <xdr:graphicFrame macro="">
      <xdr:nvGraphicFramePr>
        <xdr:cNvPr id="8322377" name="Chart 2">
          <a:extLst>
            <a:ext uri="{FF2B5EF4-FFF2-40B4-BE49-F238E27FC236}">
              <a16:creationId xmlns:a16="http://schemas.microsoft.com/office/drawing/2014/main" id="{00000000-0008-0000-0100-000049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66675</xdr:colOff>
      <xdr:row>7</xdr:row>
      <xdr:rowOff>158750</xdr:rowOff>
    </xdr:from>
    <xdr:to>
      <xdr:col>4</xdr:col>
      <xdr:colOff>0</xdr:colOff>
      <xdr:row>11</xdr:row>
      <xdr:rowOff>57150</xdr:rowOff>
    </xdr:to>
    <xdr:cxnSp macro="">
      <xdr:nvCxnSpPr>
        <xdr:cNvPr id="15" name="Straight Arrow Connector 14">
          <a:extLst>
            <a:ext uri="{FF2B5EF4-FFF2-40B4-BE49-F238E27FC236}">
              <a16:creationId xmlns:a16="http://schemas.microsoft.com/office/drawing/2014/main" id="{31EB2BDA-26A9-4E1B-ACAF-F80461144500}"/>
            </a:ext>
          </a:extLst>
        </xdr:cNvPr>
        <xdr:cNvCxnSpPr/>
      </xdr:nvCxnSpPr>
      <xdr:spPr>
        <a:xfrm flipH="1">
          <a:off x="4486275" y="2168525"/>
          <a:ext cx="638175" cy="698500"/>
        </a:xfrm>
        <a:prstGeom prst="straightConnector1">
          <a:avLst/>
        </a:prstGeom>
        <a:ln w="28575">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66675</xdr:colOff>
      <xdr:row>17</xdr:row>
      <xdr:rowOff>76200</xdr:rowOff>
    </xdr:from>
    <xdr:to>
      <xdr:col>8</xdr:col>
      <xdr:colOff>447675</xdr:colOff>
      <xdr:row>26</xdr:row>
      <xdr:rowOff>171450</xdr:rowOff>
    </xdr:to>
    <xdr:graphicFrame macro="">
      <xdr:nvGraphicFramePr>
        <xdr:cNvPr id="7" name="Chart 3">
          <a:extLst>
            <a:ext uri="{FF2B5EF4-FFF2-40B4-BE49-F238E27FC236}">
              <a16:creationId xmlns:a16="http://schemas.microsoft.com/office/drawing/2014/main" id="{224BDE15-9000-4995-B467-4F210D306C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73C7F-BB41-4494-8C2F-3649FAC9AB24}">
  <sheetPr>
    <pageSetUpPr fitToPage="1"/>
  </sheetPr>
  <dimension ref="A1:Z42"/>
  <sheetViews>
    <sheetView tabSelected="1" zoomScaleNormal="100" workbookViewId="0"/>
  </sheetViews>
  <sheetFormatPr defaultRowHeight="14.5" x14ac:dyDescent="0.35"/>
  <cols>
    <col min="1" max="1" width="14" customWidth="1"/>
    <col min="2" max="2" width="14.453125" customWidth="1"/>
    <col min="3" max="3" width="12.7265625" customWidth="1"/>
  </cols>
  <sheetData>
    <row r="1" spans="1:26" s="5" customFormat="1" ht="23.5" x14ac:dyDescent="0.35">
      <c r="A1" s="89" t="s">
        <v>145</v>
      </c>
      <c r="B1" s="36"/>
      <c r="C1" s="36"/>
      <c r="D1" s="36"/>
      <c r="E1" s="36"/>
      <c r="F1" s="36"/>
      <c r="G1" s="36"/>
      <c r="H1" s="36"/>
      <c r="I1" s="36"/>
      <c r="J1" s="36"/>
      <c r="K1" s="36"/>
      <c r="L1" s="36"/>
      <c r="M1" s="37"/>
      <c r="N1" s="37"/>
      <c r="O1" s="37"/>
      <c r="P1" s="16"/>
      <c r="Q1" s="16"/>
      <c r="R1" s="16"/>
      <c r="S1" s="16"/>
      <c r="T1" s="16"/>
      <c r="U1" s="16"/>
      <c r="V1" s="16"/>
      <c r="W1" s="16"/>
      <c r="X1" s="16"/>
      <c r="Y1" s="16"/>
      <c r="Z1" s="16"/>
    </row>
    <row r="2" spans="1:26" s="5" customFormat="1" ht="17.25" customHeight="1" x14ac:dyDescent="0.35">
      <c r="A2" s="90" t="s">
        <v>0</v>
      </c>
      <c r="B2" s="16"/>
      <c r="C2" s="16"/>
      <c r="D2" s="16"/>
      <c r="E2" s="16"/>
      <c r="F2" s="16"/>
      <c r="G2" s="16"/>
      <c r="H2" s="16"/>
      <c r="I2" s="16"/>
      <c r="J2" s="16"/>
      <c r="K2" s="16"/>
      <c r="L2" s="16"/>
      <c r="M2" s="16"/>
      <c r="N2" s="16"/>
      <c r="O2" s="16"/>
      <c r="P2" s="16"/>
      <c r="Q2" s="16"/>
      <c r="R2" s="16"/>
      <c r="S2" s="16"/>
    </row>
    <row r="3" spans="1:26" ht="17" customHeight="1" x14ac:dyDescent="0.35">
      <c r="A3" s="91" t="s">
        <v>54</v>
      </c>
      <c r="B3" s="9"/>
      <c r="C3" s="9"/>
      <c r="D3" s="9"/>
      <c r="E3" s="9"/>
      <c r="F3" s="9"/>
      <c r="G3" s="9"/>
      <c r="H3" s="9"/>
      <c r="I3" s="9"/>
      <c r="J3" s="9"/>
      <c r="K3" s="9"/>
      <c r="L3" s="9"/>
      <c r="M3" s="9"/>
      <c r="N3" s="9"/>
      <c r="O3" s="9"/>
      <c r="P3" s="9"/>
      <c r="Q3" s="9"/>
      <c r="R3" s="9"/>
      <c r="S3" s="9"/>
    </row>
    <row r="4" spans="1:26" ht="17" customHeight="1" x14ac:dyDescent="0.45">
      <c r="A4" s="117" t="s">
        <v>137</v>
      </c>
      <c r="B4" s="9"/>
      <c r="C4" s="9"/>
      <c r="D4" s="9"/>
      <c r="E4" s="9"/>
      <c r="F4" s="9"/>
      <c r="G4" s="9"/>
      <c r="H4" s="9"/>
      <c r="I4" s="9"/>
      <c r="J4" s="9"/>
      <c r="K4" s="9"/>
      <c r="L4" s="9"/>
      <c r="M4" s="9"/>
      <c r="N4" s="9"/>
      <c r="O4" s="9"/>
      <c r="P4" s="9"/>
      <c r="Q4" s="9"/>
      <c r="R4" s="9"/>
      <c r="S4" s="9"/>
    </row>
    <row r="5" spans="1:26" s="5" customFormat="1" ht="17.25" customHeight="1" x14ac:dyDescent="0.35">
      <c r="A5" s="38" t="s">
        <v>1</v>
      </c>
      <c r="B5" s="16"/>
      <c r="C5" s="16"/>
      <c r="D5" s="16"/>
      <c r="E5" s="16"/>
      <c r="F5" s="16"/>
      <c r="G5" s="16"/>
      <c r="H5" s="16"/>
      <c r="I5" s="16"/>
      <c r="J5" s="16"/>
      <c r="K5" s="16"/>
      <c r="L5" s="16"/>
      <c r="M5" s="16"/>
      <c r="N5" s="16"/>
      <c r="O5" s="16"/>
      <c r="P5" s="16"/>
      <c r="Q5" s="16"/>
      <c r="R5" s="16"/>
      <c r="S5" s="16"/>
    </row>
    <row r="6" spans="1:26" s="4" customFormat="1" ht="17.25" customHeight="1" x14ac:dyDescent="0.45">
      <c r="A6" s="41" t="s">
        <v>93</v>
      </c>
      <c r="B6" s="92"/>
      <c r="C6" s="93"/>
      <c r="D6" s="9"/>
      <c r="E6" s="39"/>
      <c r="F6" s="40"/>
      <c r="G6" s="40"/>
      <c r="H6" s="40"/>
      <c r="I6" s="40"/>
      <c r="J6" s="40"/>
      <c r="K6" s="40"/>
      <c r="L6" s="40"/>
      <c r="M6" s="9"/>
      <c r="N6" s="9"/>
      <c r="O6" s="9"/>
      <c r="P6" s="9"/>
      <c r="Q6" s="9"/>
      <c r="R6" s="9"/>
      <c r="S6" s="9"/>
    </row>
    <row r="7" spans="1:26" s="4" customFormat="1" ht="17.25" customHeight="1" x14ac:dyDescent="0.45">
      <c r="A7" s="41" t="s">
        <v>149</v>
      </c>
      <c r="B7" s="92"/>
      <c r="C7" s="93"/>
      <c r="D7" s="9"/>
      <c r="E7" s="39"/>
      <c r="F7" s="40"/>
      <c r="G7" s="40"/>
      <c r="H7" s="40"/>
      <c r="I7" s="40"/>
      <c r="J7" s="40"/>
      <c r="K7" s="40"/>
      <c r="L7" s="40"/>
      <c r="M7" s="9"/>
      <c r="N7" s="9"/>
      <c r="O7" s="9"/>
      <c r="P7" s="9"/>
      <c r="Q7" s="9"/>
      <c r="R7" s="9"/>
      <c r="S7" s="9"/>
    </row>
    <row r="8" spans="1:26" s="4" customFormat="1" ht="17" customHeight="1" x14ac:dyDescent="0.45">
      <c r="A8" s="41" t="s">
        <v>98</v>
      </c>
      <c r="B8" s="92"/>
      <c r="C8" s="93"/>
      <c r="D8" s="9"/>
      <c r="E8" s="39"/>
      <c r="F8" s="40"/>
      <c r="G8" s="40"/>
      <c r="H8" s="40"/>
      <c r="I8" s="40"/>
      <c r="J8" s="40"/>
      <c r="K8" s="40"/>
      <c r="L8" s="40"/>
      <c r="M8" s="9"/>
      <c r="N8" s="9"/>
      <c r="O8" s="9"/>
      <c r="P8" s="9"/>
      <c r="Q8" s="9"/>
      <c r="R8" s="9"/>
      <c r="S8" s="9"/>
    </row>
    <row r="9" spans="1:26" s="4" customFormat="1" ht="17" customHeight="1" x14ac:dyDescent="0.45">
      <c r="A9" s="41" t="s">
        <v>95</v>
      </c>
      <c r="B9" s="92"/>
      <c r="C9" s="93"/>
      <c r="D9" s="9"/>
      <c r="E9" s="39"/>
      <c r="F9" s="40"/>
      <c r="G9" s="40"/>
      <c r="H9" s="40"/>
      <c r="I9" s="40"/>
      <c r="J9" s="40"/>
      <c r="K9" s="40"/>
      <c r="L9" s="40"/>
      <c r="M9" s="9"/>
      <c r="N9" s="9"/>
      <c r="O9" s="9"/>
      <c r="P9" s="9"/>
      <c r="Q9" s="9"/>
      <c r="R9" s="9"/>
      <c r="S9" s="9"/>
    </row>
    <row r="10" spans="1:26" s="4" customFormat="1" ht="17.25" customHeight="1" x14ac:dyDescent="0.45">
      <c r="A10" s="41" t="s">
        <v>96</v>
      </c>
      <c r="B10" s="92"/>
      <c r="C10" s="93"/>
      <c r="D10" s="9"/>
      <c r="E10" s="39"/>
      <c r="F10" s="40"/>
      <c r="G10" s="40"/>
      <c r="H10" s="40"/>
      <c r="I10" s="40"/>
      <c r="J10" s="40"/>
      <c r="K10" s="40"/>
      <c r="L10" s="40"/>
      <c r="M10" s="9"/>
      <c r="N10" s="9"/>
      <c r="O10" s="9"/>
      <c r="P10" s="9"/>
      <c r="Q10" s="9"/>
      <c r="R10" s="9"/>
      <c r="S10" s="9"/>
    </row>
    <row r="11" spans="1:26" s="4" customFormat="1" ht="17.25" customHeight="1" x14ac:dyDescent="0.45">
      <c r="A11" s="41" t="s">
        <v>97</v>
      </c>
      <c r="B11" s="92"/>
      <c r="C11" s="93"/>
      <c r="D11" s="9"/>
      <c r="E11" s="39"/>
      <c r="F11" s="40"/>
      <c r="G11" s="40"/>
      <c r="H11" s="40"/>
      <c r="I11" s="40"/>
      <c r="J11" s="40"/>
      <c r="K11" s="40"/>
      <c r="L11" s="40"/>
      <c r="M11" s="9"/>
      <c r="N11" s="9"/>
      <c r="O11" s="9"/>
      <c r="P11" s="9"/>
      <c r="Q11" s="9"/>
      <c r="R11" s="9"/>
      <c r="S11" s="9"/>
    </row>
    <row r="12" spans="1:26" s="4" customFormat="1" ht="17.25" customHeight="1" x14ac:dyDescent="0.45">
      <c r="A12" s="41" t="s">
        <v>94</v>
      </c>
      <c r="B12" s="92"/>
      <c r="C12" s="93"/>
      <c r="D12" s="9"/>
      <c r="E12" s="39"/>
      <c r="F12" s="40"/>
      <c r="G12" s="40"/>
      <c r="H12" s="40"/>
      <c r="I12" s="40"/>
      <c r="J12" s="40"/>
      <c r="K12" s="40"/>
      <c r="L12" s="40"/>
      <c r="M12" s="9"/>
      <c r="N12" s="9"/>
      <c r="O12" s="9"/>
      <c r="P12" s="9"/>
      <c r="Q12" s="9"/>
      <c r="R12" s="9"/>
      <c r="S12" s="9"/>
    </row>
    <row r="13" spans="1:26" s="5" customFormat="1" ht="17.25" customHeight="1" x14ac:dyDescent="0.35">
      <c r="A13" s="38" t="s">
        <v>3</v>
      </c>
      <c r="B13" s="16"/>
      <c r="C13" s="16"/>
      <c r="D13" s="16"/>
      <c r="E13" s="16"/>
      <c r="F13" s="16"/>
      <c r="G13" s="16"/>
      <c r="H13" s="16"/>
      <c r="I13" s="16"/>
      <c r="J13" s="16"/>
      <c r="K13" s="16"/>
      <c r="L13" s="16"/>
      <c r="M13" s="16"/>
      <c r="N13" s="16"/>
      <c r="O13" s="16"/>
      <c r="P13" s="16"/>
      <c r="Q13" s="16"/>
      <c r="R13" s="16"/>
      <c r="S13" s="16"/>
    </row>
    <row r="14" spans="1:26" s="14" customFormat="1" ht="17.25" customHeight="1" x14ac:dyDescent="0.3">
      <c r="A14" s="41" t="s">
        <v>55</v>
      </c>
      <c r="B14" s="41" t="s">
        <v>29</v>
      </c>
      <c r="C14" s="42">
        <v>45659</v>
      </c>
      <c r="E14" s="43"/>
      <c r="F14" s="44"/>
    </row>
    <row r="15" spans="1:26" s="14" customFormat="1" ht="17.25" customHeight="1" x14ac:dyDescent="0.3">
      <c r="A15" s="41" t="s">
        <v>21</v>
      </c>
      <c r="B15" s="41" t="s">
        <v>5</v>
      </c>
      <c r="E15" s="43"/>
      <c r="F15" s="44"/>
    </row>
    <row r="16" spans="1:26" s="5" customFormat="1" ht="17.25" customHeight="1" x14ac:dyDescent="0.35">
      <c r="A16" s="38" t="s">
        <v>20</v>
      </c>
      <c r="B16" s="16"/>
      <c r="C16" s="16"/>
      <c r="D16" s="16"/>
      <c r="E16" s="16"/>
      <c r="F16" s="16"/>
      <c r="G16" s="16"/>
      <c r="H16" s="16"/>
      <c r="I16" s="16"/>
      <c r="J16" s="16"/>
      <c r="K16" s="16"/>
      <c r="L16" s="16"/>
      <c r="M16" s="16"/>
      <c r="N16" s="16"/>
      <c r="O16" s="16"/>
      <c r="P16" s="16"/>
      <c r="Q16" s="16"/>
      <c r="R16" s="16"/>
      <c r="S16" s="16"/>
    </row>
    <row r="17" spans="1:13" s="7" customFormat="1" ht="17.25" customHeight="1" x14ac:dyDescent="0.35">
      <c r="A17" s="94" t="s">
        <v>24</v>
      </c>
      <c r="B17" s="92"/>
      <c r="C17" s="93"/>
      <c r="D17" s="9"/>
      <c r="E17" s="45"/>
      <c r="F17" s="46"/>
    </row>
    <row r="18" spans="1:13" s="16" customFormat="1" ht="55.5" customHeight="1" x14ac:dyDescent="0.35">
      <c r="A18" s="35" t="s">
        <v>56</v>
      </c>
    </row>
    <row r="19" spans="1:13" s="16" customFormat="1" ht="19.5" customHeight="1" x14ac:dyDescent="0.35">
      <c r="A19" s="95" t="s">
        <v>57</v>
      </c>
    </row>
    <row r="20" spans="1:13" s="9" customFormat="1" ht="13" x14ac:dyDescent="0.3">
      <c r="A20" s="47">
        <f>45+22.4</f>
        <v>67.400000000000006</v>
      </c>
      <c r="B20" s="9" t="s">
        <v>58</v>
      </c>
    </row>
    <row r="21" spans="1:13" s="9" customFormat="1" ht="13" x14ac:dyDescent="0.3">
      <c r="A21" s="33" t="s">
        <v>59</v>
      </c>
    </row>
    <row r="22" spans="1:13" s="9" customFormat="1" ht="13" x14ac:dyDescent="0.3">
      <c r="A22" s="10"/>
      <c r="B22" s="9" t="s">
        <v>60</v>
      </c>
    </row>
    <row r="23" spans="1:13" s="9" customFormat="1" ht="13" x14ac:dyDescent="0.3">
      <c r="A23" s="48">
        <v>67.400000000000006</v>
      </c>
      <c r="B23" s="9" t="s">
        <v>61</v>
      </c>
    </row>
    <row r="24" spans="1:13" s="49" customFormat="1" ht="28.5" customHeight="1" x14ac:dyDescent="0.35">
      <c r="A24" s="96" t="s">
        <v>62</v>
      </c>
    </row>
    <row r="25" spans="1:13" s="9" customFormat="1" ht="13" x14ac:dyDescent="0.3">
      <c r="A25" s="10"/>
      <c r="B25" s="9" t="s">
        <v>63</v>
      </c>
    </row>
    <row r="26" spans="1:13" s="49" customFormat="1" ht="13" x14ac:dyDescent="0.3">
      <c r="A26" s="124" t="str">
        <f>'start up campsite'!A83</f>
        <v xml:space="preserve">solar lighting, bore pumps, tanks, piping, water taps, </v>
      </c>
      <c r="B26" s="124"/>
      <c r="C26" s="125">
        <f>'start up campsite'!C83</f>
        <v>30000</v>
      </c>
      <c r="D26" s="125">
        <f>'start up campsite'!D83</f>
        <v>5000</v>
      </c>
      <c r="E26" s="125">
        <f>'start up campsite'!E83</f>
        <v>5000</v>
      </c>
      <c r="F26" s="125">
        <f>'start up campsite'!F83</f>
        <v>5000</v>
      </c>
      <c r="G26" s="125">
        <f>'start up campsite'!G83</f>
        <v>5000</v>
      </c>
      <c r="H26" s="125">
        <f>'start up campsite'!H83</f>
        <v>5000</v>
      </c>
      <c r="I26" s="125">
        <f>'start up campsite'!I83</f>
        <v>5000</v>
      </c>
      <c r="J26" s="125">
        <f>'start up campsite'!J83</f>
        <v>0</v>
      </c>
      <c r="K26" s="125">
        <f>'start up campsite'!K83</f>
        <v>0</v>
      </c>
      <c r="L26" s="125">
        <f>'start up campsite'!L83</f>
        <v>0</v>
      </c>
      <c r="M26" s="125">
        <f>'start up campsite'!M83</f>
        <v>0</v>
      </c>
    </row>
    <row r="27" spans="1:13" s="9" customFormat="1" ht="13" x14ac:dyDescent="0.3">
      <c r="A27" s="10"/>
      <c r="B27" s="9" t="s">
        <v>64</v>
      </c>
    </row>
    <row r="28" spans="1:13" s="9" customFormat="1" ht="13" x14ac:dyDescent="0.3">
      <c r="A28" s="10"/>
      <c r="B28" s="9" t="s">
        <v>65</v>
      </c>
    </row>
    <row r="29" spans="1:13" s="9" customFormat="1" ht="13" x14ac:dyDescent="0.3">
      <c r="A29" s="10"/>
      <c r="B29" s="9" t="s">
        <v>66</v>
      </c>
    </row>
    <row r="30" spans="1:13" s="14" customFormat="1" ht="28.5" customHeight="1" x14ac:dyDescent="0.35">
      <c r="A30" s="97" t="s">
        <v>67</v>
      </c>
    </row>
    <row r="31" spans="1:13" s="9" customFormat="1" ht="13" x14ac:dyDescent="0.3">
      <c r="A31" s="11">
        <f>A20+A23</f>
        <v>134.80000000000001</v>
      </c>
      <c r="B31" s="9" t="s">
        <v>68</v>
      </c>
    </row>
    <row r="32" spans="1:13" s="14" customFormat="1" ht="28.5" customHeight="1" x14ac:dyDescent="0.35">
      <c r="A32" s="98" t="s">
        <v>69</v>
      </c>
    </row>
    <row r="33" spans="1:19" s="9" customFormat="1" ht="13" x14ac:dyDescent="0.3">
      <c r="A33" s="50">
        <v>67.400000000000006</v>
      </c>
      <c r="B33" s="9" t="s">
        <v>70</v>
      </c>
    </row>
    <row r="34" spans="1:19" s="9" customFormat="1" ht="13" x14ac:dyDescent="0.3"/>
    <row r="35" spans="1:19" s="14" customFormat="1" ht="28.5" customHeight="1" x14ac:dyDescent="0.35">
      <c r="A35" s="97" t="s">
        <v>71</v>
      </c>
    </row>
    <row r="36" spans="1:19" s="9" customFormat="1" ht="13" x14ac:dyDescent="0.3">
      <c r="A36" s="9" t="s">
        <v>72</v>
      </c>
    </row>
    <row r="37" spans="1:19" s="9" customFormat="1" ht="13" x14ac:dyDescent="0.3">
      <c r="B37" s="9" t="s">
        <v>25</v>
      </c>
    </row>
    <row r="38" spans="1:19" s="9" customFormat="1" ht="13" x14ac:dyDescent="0.3">
      <c r="C38" s="9" t="s">
        <v>73</v>
      </c>
    </row>
    <row r="39" spans="1:19" s="9" customFormat="1" ht="13" x14ac:dyDescent="0.3">
      <c r="A39" s="10"/>
      <c r="B39" s="10"/>
      <c r="C39" s="10"/>
      <c r="D39" s="9" t="s">
        <v>74</v>
      </c>
      <c r="E39" s="10"/>
      <c r="F39" s="10"/>
    </row>
    <row r="40" spans="1:19" s="9" customFormat="1" ht="13" x14ac:dyDescent="0.3"/>
    <row r="41" spans="1:19" x14ac:dyDescent="0.35">
      <c r="A41" s="9"/>
      <c r="B41" s="9"/>
      <c r="C41" s="9"/>
      <c r="D41" s="9"/>
      <c r="E41" s="9"/>
      <c r="F41" s="9"/>
      <c r="G41" s="9"/>
      <c r="H41" s="9"/>
      <c r="I41" s="9"/>
      <c r="J41" s="9"/>
      <c r="K41" s="9"/>
      <c r="L41" s="9"/>
      <c r="M41" s="9"/>
      <c r="N41" s="9"/>
      <c r="O41" s="9"/>
      <c r="P41" s="9"/>
      <c r="Q41" s="9"/>
      <c r="R41" s="9"/>
      <c r="S41" s="9"/>
    </row>
    <row r="42" spans="1:19" x14ac:dyDescent="0.35">
      <c r="A42" s="9"/>
      <c r="B42" s="9"/>
      <c r="C42" s="9"/>
      <c r="D42" s="9"/>
      <c r="E42" s="9"/>
      <c r="F42" s="9"/>
      <c r="G42" s="9"/>
      <c r="H42" s="9"/>
      <c r="I42" s="9"/>
      <c r="J42" s="9"/>
      <c r="K42" s="9"/>
      <c r="L42" s="9"/>
      <c r="M42" s="9"/>
      <c r="N42" s="9"/>
      <c r="O42" s="9"/>
      <c r="P42" s="9"/>
      <c r="Q42" s="9"/>
      <c r="R42" s="9"/>
      <c r="S42" s="9"/>
    </row>
  </sheetData>
  <pageMargins left="0.70866141732283472" right="0.70866141732283472" top="0.74803149606299213" bottom="0.74803149606299213"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60"/>
  <sheetViews>
    <sheetView zoomScaleNormal="100" workbookViewId="0">
      <pane xSplit="28290" topLeftCell="AC1"/>
      <selection activeCell="J2" sqref="J2"/>
      <selection pane="topRight" activeCell="AC151" sqref="AC151"/>
    </sheetView>
  </sheetViews>
  <sheetFormatPr defaultColWidth="8.81640625" defaultRowHeight="15.5" x14ac:dyDescent="0.35"/>
  <cols>
    <col min="1" max="1" width="37.90625" style="7" customWidth="1"/>
    <col min="2" max="2" width="10.08984375" style="7" customWidth="1"/>
    <col min="3" max="3" width="15.26953125" style="1" customWidth="1"/>
    <col min="4" max="13" width="10.08984375" style="3" customWidth="1"/>
    <col min="14" max="39" width="10.08984375" style="7" customWidth="1"/>
    <col min="40" max="16384" width="8.81640625" style="7"/>
  </cols>
  <sheetData>
    <row r="1" spans="1:13" s="17" customFormat="1" ht="21" x14ac:dyDescent="0.35">
      <c r="A1" s="51" t="str">
        <f>Introduction!A1</f>
        <v>Worked Example - Small Business Start up - A Preliminary Assessment - www.economicevaluation.com.au</v>
      </c>
      <c r="B1" s="52"/>
      <c r="C1" s="52"/>
      <c r="D1" s="52"/>
    </row>
    <row r="2" spans="1:13" s="18" customFormat="1" ht="25.5" customHeight="1" x14ac:dyDescent="0.35">
      <c r="A2" s="53" t="s">
        <v>24</v>
      </c>
    </row>
    <row r="3" spans="1:13" s="18" customFormat="1" ht="48.5" customHeight="1" x14ac:dyDescent="0.35">
      <c r="A3" s="15" t="s">
        <v>99</v>
      </c>
      <c r="C3" s="6"/>
      <c r="D3" s="17"/>
      <c r="E3" s="17"/>
      <c r="F3" s="17"/>
      <c r="G3" s="17"/>
      <c r="H3" s="17"/>
      <c r="I3" s="17"/>
      <c r="J3" s="17"/>
      <c r="K3" s="17"/>
      <c r="L3" s="17"/>
      <c r="M3" s="17"/>
    </row>
    <row r="4" spans="1:13" s="18" customFormat="1" x14ac:dyDescent="0.35">
      <c r="A4" s="119" t="str">
        <f>A64</f>
        <v>Months of start-up &amp; business assessed --&gt;</v>
      </c>
      <c r="B4" s="119" t="str">
        <f>B64</f>
        <v>months</v>
      </c>
      <c r="C4" s="120">
        <f>C64</f>
        <v>36</v>
      </c>
      <c r="D4" s="126" t="s">
        <v>147</v>
      </c>
      <c r="E4" s="17"/>
      <c r="F4" s="17"/>
      <c r="G4" s="17"/>
      <c r="H4" s="17"/>
      <c r="I4" s="17"/>
      <c r="J4" s="17"/>
      <c r="K4" s="17"/>
      <c r="L4" s="17"/>
      <c r="M4" s="17"/>
    </row>
    <row r="5" spans="1:13" s="18" customFormat="1" x14ac:dyDescent="0.35">
      <c r="A5" s="132" t="str">
        <f>A62</f>
        <v>price - campsite per night</v>
      </c>
      <c r="B5" s="119" t="str">
        <f t="shared" ref="B5:C5" si="0">B62</f>
        <v>$ per site per night</v>
      </c>
      <c r="C5" s="113">
        <f t="shared" si="0"/>
        <v>80</v>
      </c>
      <c r="D5" s="17"/>
      <c r="E5" s="17"/>
      <c r="F5" s="17"/>
      <c r="G5" s="17"/>
      <c r="H5" s="17"/>
      <c r="I5" s="17"/>
      <c r="J5" s="17"/>
      <c r="K5" s="17"/>
      <c r="L5" s="17"/>
      <c r="M5" s="17"/>
    </row>
    <row r="6" spans="1:13" s="18" customFormat="1" x14ac:dyDescent="0.35">
      <c r="A6" s="121"/>
      <c r="B6" s="119"/>
      <c r="C6" s="120"/>
      <c r="D6" s="17"/>
      <c r="E6" s="17"/>
      <c r="F6" s="17"/>
      <c r="G6" s="17"/>
      <c r="H6" s="17"/>
      <c r="I6" s="17"/>
      <c r="J6" s="17"/>
      <c r="K6" s="17"/>
      <c r="L6" s="17"/>
      <c r="M6" s="17"/>
    </row>
    <row r="7" spans="1:13" s="18" customFormat="1" x14ac:dyDescent="0.35">
      <c r="A7" s="118" t="str">
        <f>A185</f>
        <v>Cashstream 1: Revenue</v>
      </c>
      <c r="B7" s="119" t="str">
        <f t="shared" ref="B7:C7" si="1">B185</f>
        <v>$</v>
      </c>
      <c r="C7" s="120">
        <f t="shared" si="1"/>
        <v>3782000</v>
      </c>
      <c r="D7" s="17"/>
      <c r="E7" s="17"/>
      <c r="F7" s="17"/>
      <c r="G7" s="17"/>
      <c r="H7" s="17"/>
      <c r="I7" s="17"/>
      <c r="J7" s="17"/>
      <c r="K7" s="17"/>
      <c r="L7" s="17"/>
      <c r="M7" s="17"/>
    </row>
    <row r="8" spans="1:13" s="18" customFormat="1" x14ac:dyDescent="0.35">
      <c r="A8" s="118" t="str">
        <f t="shared" ref="A8:C11" si="2">A186</f>
        <v>Cashstream 2: Capital Costs</v>
      </c>
      <c r="B8" s="119" t="str">
        <f t="shared" si="2"/>
        <v>$</v>
      </c>
      <c r="C8" s="120">
        <f t="shared" si="2"/>
        <v>2506000</v>
      </c>
      <c r="D8" s="17"/>
      <c r="E8" s="17"/>
      <c r="F8" s="17"/>
      <c r="G8" s="17"/>
      <c r="H8" s="17"/>
      <c r="I8" s="17"/>
      <c r="J8" s="17"/>
      <c r="K8" s="17"/>
      <c r="L8" s="17"/>
      <c r="M8" s="17"/>
    </row>
    <row r="9" spans="1:13" s="18" customFormat="1" x14ac:dyDescent="0.35">
      <c r="A9" s="118" t="str">
        <f t="shared" si="2"/>
        <v>Cashstream 3: Operating Costs</v>
      </c>
      <c r="B9" s="119" t="str">
        <f t="shared" si="2"/>
        <v>$</v>
      </c>
      <c r="C9" s="120">
        <f t="shared" si="2"/>
        <v>1620000</v>
      </c>
      <c r="D9" s="17"/>
      <c r="E9" s="17"/>
      <c r="F9" s="17"/>
      <c r="G9" s="17"/>
      <c r="H9" s="17"/>
      <c r="I9" s="17"/>
      <c r="J9" s="17"/>
      <c r="K9" s="17"/>
      <c r="L9" s="17"/>
      <c r="M9" s="17"/>
    </row>
    <row r="10" spans="1:13" s="18" customFormat="1" x14ac:dyDescent="0.35">
      <c r="A10" s="118" t="str">
        <f t="shared" si="2"/>
        <v>Cashstream 4: Income Tax (indicative)</v>
      </c>
      <c r="B10" s="119" t="str">
        <f t="shared" si="2"/>
        <v>$</v>
      </c>
      <c r="C10" s="120">
        <f t="shared" si="2"/>
        <v>553206.82726297516</v>
      </c>
      <c r="D10" s="17"/>
      <c r="E10" s="17"/>
      <c r="F10" s="17"/>
      <c r="G10" s="17"/>
      <c r="H10" s="17"/>
      <c r="I10" s="17"/>
      <c r="J10" s="17"/>
      <c r="K10" s="17"/>
      <c r="L10" s="17"/>
      <c r="M10" s="17"/>
    </row>
    <row r="11" spans="1:13" s="18" customFormat="1" x14ac:dyDescent="0.35">
      <c r="A11" s="55" t="str">
        <f t="shared" si="2"/>
        <v>Cash Generation - Monthly</v>
      </c>
      <c r="B11" s="56" t="str">
        <f t="shared" si="2"/>
        <v>$</v>
      </c>
      <c r="C11" s="114">
        <f t="shared" si="2"/>
        <v>-897206.82726297551</v>
      </c>
      <c r="D11" s="17"/>
      <c r="E11" s="17"/>
      <c r="F11" s="17"/>
      <c r="G11" s="17"/>
      <c r="H11" s="17"/>
      <c r="I11" s="17"/>
      <c r="J11" s="17"/>
      <c r="K11" s="17"/>
      <c r="L11" s="17"/>
      <c r="M11" s="17"/>
    </row>
    <row r="12" spans="1:13" s="18" customFormat="1" ht="14" customHeight="1" x14ac:dyDescent="0.35">
      <c r="A12" s="55"/>
      <c r="B12" s="56"/>
      <c r="C12" s="102"/>
      <c r="D12" s="17"/>
      <c r="E12" s="17"/>
      <c r="F12" s="17"/>
      <c r="G12" s="17"/>
      <c r="H12" s="17"/>
      <c r="I12" s="17"/>
      <c r="J12" s="17"/>
      <c r="K12" s="17"/>
      <c r="L12" s="17"/>
      <c r="M12" s="17"/>
    </row>
    <row r="13" spans="1:13" s="18" customFormat="1" x14ac:dyDescent="0.35">
      <c r="A13" s="67" t="str">
        <f>A194</f>
        <v>IRR  (Internal Rate of Return)</v>
      </c>
      <c r="B13" s="67"/>
      <c r="C13" s="115">
        <f>C194</f>
        <v>-2.5729929981565647E-2</v>
      </c>
      <c r="D13" s="17"/>
      <c r="E13" s="17"/>
      <c r="F13" s="17"/>
      <c r="G13" s="17"/>
      <c r="H13" s="17"/>
      <c r="I13" s="17"/>
      <c r="J13" s="17"/>
      <c r="K13" s="17"/>
      <c r="L13" s="17"/>
      <c r="M13" s="17"/>
    </row>
    <row r="14" spans="1:13" s="18" customFormat="1" x14ac:dyDescent="0.35">
      <c r="A14" s="55" t="str">
        <f>A204</f>
        <v>NPV  (Net Present Value)</v>
      </c>
      <c r="B14" s="56" t="str">
        <f>B204</f>
        <v>$</v>
      </c>
      <c r="C14" s="113">
        <f>C204</f>
        <v>-1006545.6346638316</v>
      </c>
      <c r="D14" s="17"/>
      <c r="E14" s="17"/>
      <c r="F14" s="17"/>
      <c r="G14" s="17"/>
      <c r="H14" s="17"/>
      <c r="I14" s="17"/>
      <c r="J14" s="17"/>
      <c r="K14" s="17"/>
      <c r="L14" s="17"/>
      <c r="M14" s="17"/>
    </row>
    <row r="15" spans="1:13" s="30" customFormat="1" x14ac:dyDescent="0.35">
      <c r="A15" s="122" t="s">
        <v>135</v>
      </c>
      <c r="B15" s="54"/>
      <c r="C15" s="123" t="s">
        <v>28</v>
      </c>
      <c r="D15" s="29"/>
      <c r="E15" s="29"/>
      <c r="F15" s="29"/>
      <c r="G15" s="29"/>
      <c r="H15" s="29"/>
      <c r="I15" s="29"/>
      <c r="J15" s="29"/>
      <c r="K15" s="29"/>
      <c r="L15" s="29"/>
      <c r="M15" s="29"/>
    </row>
    <row r="16" spans="1:13" s="30" customFormat="1" x14ac:dyDescent="0.35">
      <c r="A16" s="31"/>
      <c r="B16" s="54"/>
      <c r="C16" s="32"/>
      <c r="D16" s="29"/>
      <c r="E16" s="29"/>
      <c r="F16" s="29"/>
      <c r="G16" s="29"/>
      <c r="H16" s="29"/>
      <c r="I16" s="29"/>
      <c r="J16" s="29"/>
      <c r="K16" s="29"/>
      <c r="L16" s="29"/>
      <c r="M16" s="29"/>
    </row>
    <row r="17" spans="1:13" s="18" customFormat="1" ht="29.5" customHeight="1" x14ac:dyDescent="0.35">
      <c r="A17" s="15" t="s">
        <v>100</v>
      </c>
      <c r="C17" s="6"/>
      <c r="D17" s="17"/>
      <c r="E17" s="17"/>
      <c r="F17" s="17"/>
      <c r="G17" s="17"/>
      <c r="H17" s="17"/>
      <c r="I17" s="17"/>
      <c r="J17" s="17"/>
      <c r="K17" s="17"/>
      <c r="L17" s="17"/>
      <c r="M17" s="17"/>
    </row>
    <row r="18" spans="1:13" ht="17" customHeight="1" x14ac:dyDescent="0.35">
      <c r="A18" s="8"/>
      <c r="C18" s="20"/>
    </row>
    <row r="19" spans="1:13" ht="17.25" customHeight="1" x14ac:dyDescent="0.35">
      <c r="A19" s="8"/>
      <c r="C19" s="20"/>
    </row>
    <row r="20" spans="1:13" ht="17.25" customHeight="1" x14ac:dyDescent="0.35">
      <c r="A20" s="8"/>
      <c r="C20" s="20"/>
    </row>
    <row r="21" spans="1:13" ht="17.25" customHeight="1" x14ac:dyDescent="0.35">
      <c r="A21" s="8"/>
      <c r="C21" s="20"/>
    </row>
    <row r="22" spans="1:13" ht="17.25" customHeight="1" x14ac:dyDescent="0.35">
      <c r="A22" s="8"/>
      <c r="C22" s="20"/>
    </row>
    <row r="23" spans="1:13" ht="17.25" customHeight="1" x14ac:dyDescent="0.35">
      <c r="A23" s="8"/>
      <c r="C23" s="20"/>
    </row>
    <row r="24" spans="1:13" ht="17.25" customHeight="1" x14ac:dyDescent="0.35">
      <c r="A24" s="8"/>
      <c r="C24" s="20"/>
    </row>
    <row r="25" spans="1:13" ht="17.25" customHeight="1" x14ac:dyDescent="0.35">
      <c r="A25" s="8"/>
      <c r="C25" s="20"/>
    </row>
    <row r="26" spans="1:13" ht="17.25" customHeight="1" x14ac:dyDescent="0.35">
      <c r="A26" s="8"/>
      <c r="C26" s="20"/>
    </row>
    <row r="27" spans="1:13" ht="17.25" customHeight="1" x14ac:dyDescent="0.35">
      <c r="A27" s="8"/>
      <c r="C27" s="20"/>
    </row>
    <row r="28" spans="1:13" ht="17.25" customHeight="1" x14ac:dyDescent="0.35">
      <c r="A28" s="8"/>
      <c r="C28" s="20"/>
    </row>
    <row r="29" spans="1:13" ht="17.25" customHeight="1" x14ac:dyDescent="0.35">
      <c r="A29" s="8"/>
      <c r="C29" s="20"/>
    </row>
    <row r="30" spans="1:13" ht="17.25" customHeight="1" x14ac:dyDescent="0.35">
      <c r="A30" s="8"/>
      <c r="C30" s="20"/>
    </row>
    <row r="31" spans="1:13" ht="17" customHeight="1" x14ac:dyDescent="0.35">
      <c r="A31" s="8"/>
      <c r="C31" s="20"/>
    </row>
    <row r="32" spans="1:13" ht="17.25" customHeight="1" x14ac:dyDescent="0.35">
      <c r="A32" s="8"/>
      <c r="C32" s="20"/>
    </row>
    <row r="33" spans="1:19" ht="17.25" customHeight="1" x14ac:dyDescent="0.35">
      <c r="A33" s="8"/>
      <c r="C33" s="20"/>
      <c r="P33" s="3"/>
      <c r="R33" s="3"/>
      <c r="S33" s="21"/>
    </row>
    <row r="34" spans="1:19" ht="17.25" customHeight="1" x14ac:dyDescent="0.35">
      <c r="A34" s="8"/>
      <c r="C34" s="20"/>
      <c r="P34" s="3"/>
      <c r="R34" s="3"/>
      <c r="S34" s="21"/>
    </row>
    <row r="35" spans="1:19" ht="17.25" customHeight="1" x14ac:dyDescent="0.35">
      <c r="A35" s="8"/>
      <c r="C35" s="20"/>
      <c r="P35" s="3"/>
      <c r="R35" s="3"/>
      <c r="S35" s="21"/>
    </row>
    <row r="36" spans="1:19" ht="17.25" customHeight="1" x14ac:dyDescent="0.35">
      <c r="A36" s="8"/>
      <c r="C36" s="20"/>
    </row>
    <row r="37" spans="1:19" ht="17.25" customHeight="1" x14ac:dyDescent="0.35">
      <c r="A37" s="8"/>
      <c r="C37" s="20"/>
    </row>
    <row r="38" spans="1:19" ht="17.25" customHeight="1" x14ac:dyDescent="0.35">
      <c r="A38" s="8"/>
      <c r="C38" s="20"/>
    </row>
    <row r="39" spans="1:19" ht="17.25" customHeight="1" x14ac:dyDescent="0.35">
      <c r="A39" s="8"/>
      <c r="C39" s="20"/>
    </row>
    <row r="40" spans="1:19" ht="17.25" customHeight="1" x14ac:dyDescent="0.35">
      <c r="A40" s="8"/>
      <c r="C40" s="20"/>
    </row>
    <row r="41" spans="1:19" ht="17.25" customHeight="1" x14ac:dyDescent="0.35">
      <c r="A41" s="8"/>
      <c r="C41" s="20"/>
    </row>
    <row r="42" spans="1:19" ht="17.25" customHeight="1" x14ac:dyDescent="0.35">
      <c r="A42" s="8"/>
      <c r="C42" s="20"/>
    </row>
    <row r="43" spans="1:19" ht="17.25" customHeight="1" x14ac:dyDescent="0.35">
      <c r="A43" s="8"/>
      <c r="C43" s="20"/>
    </row>
    <row r="44" spans="1:19" ht="17.25" customHeight="1" x14ac:dyDescent="0.35">
      <c r="A44" s="8"/>
      <c r="C44" s="20"/>
    </row>
    <row r="45" spans="1:19" ht="17.25" customHeight="1" x14ac:dyDescent="0.35">
      <c r="A45" s="8"/>
      <c r="C45" s="20"/>
    </row>
    <row r="46" spans="1:19" ht="17.25" customHeight="1" x14ac:dyDescent="0.35">
      <c r="A46" s="8"/>
      <c r="C46" s="20"/>
    </row>
    <row r="47" spans="1:19" ht="17.25" customHeight="1" x14ac:dyDescent="0.35">
      <c r="A47" s="8"/>
      <c r="C47" s="20"/>
    </row>
    <row r="48" spans="1:19" ht="17.25" customHeight="1" x14ac:dyDescent="0.35">
      <c r="A48" s="8"/>
      <c r="C48" s="20"/>
    </row>
    <row r="49" spans="1:39" ht="17.25" customHeight="1" x14ac:dyDescent="0.35">
      <c r="A49" s="8"/>
      <c r="C49" s="20"/>
    </row>
    <row r="50" spans="1:39" ht="17.25" customHeight="1" x14ac:dyDescent="0.35">
      <c r="A50" s="8"/>
      <c r="C50" s="20"/>
    </row>
    <row r="51" spans="1:39" ht="17.25" customHeight="1" x14ac:dyDescent="0.35">
      <c r="A51" s="8"/>
      <c r="C51" s="20"/>
    </row>
    <row r="52" spans="1:39" ht="17.25" customHeight="1" x14ac:dyDescent="0.35">
      <c r="A52" s="8"/>
      <c r="C52" s="20"/>
    </row>
    <row r="53" spans="1:39" ht="17.25" customHeight="1" x14ac:dyDescent="0.35">
      <c r="A53" s="8"/>
      <c r="C53" s="20"/>
    </row>
    <row r="54" spans="1:39" ht="17.25" customHeight="1" x14ac:dyDescent="0.35">
      <c r="A54" s="8"/>
      <c r="C54" s="20"/>
    </row>
    <row r="55" spans="1:39" ht="17.25" customHeight="1" x14ac:dyDescent="0.35">
      <c r="A55" s="8"/>
      <c r="C55" s="20"/>
    </row>
    <row r="56" spans="1:39" s="60" customFormat="1" ht="27.5" customHeight="1" x14ac:dyDescent="0.45">
      <c r="A56" s="62" t="s">
        <v>31</v>
      </c>
      <c r="B56" s="60" t="s">
        <v>78</v>
      </c>
      <c r="C56" s="59" t="s">
        <v>6</v>
      </c>
      <c r="D56" s="61">
        <v>46388</v>
      </c>
      <c r="E56" s="61">
        <v>46419</v>
      </c>
      <c r="F56" s="61">
        <v>46447</v>
      </c>
      <c r="G56" s="61">
        <v>46478</v>
      </c>
      <c r="H56" s="61">
        <v>46508</v>
      </c>
      <c r="I56" s="61">
        <v>46539</v>
      </c>
      <c r="J56" s="61">
        <v>46569</v>
      </c>
      <c r="K56" s="61">
        <v>46600</v>
      </c>
      <c r="L56" s="61">
        <v>46631</v>
      </c>
      <c r="M56" s="61">
        <v>46661</v>
      </c>
      <c r="N56" s="61">
        <v>46692</v>
      </c>
      <c r="O56" s="61">
        <v>46722</v>
      </c>
      <c r="P56" s="61">
        <v>46753</v>
      </c>
      <c r="Q56" s="61">
        <v>46784</v>
      </c>
      <c r="R56" s="61">
        <v>46813</v>
      </c>
      <c r="S56" s="61">
        <v>46844</v>
      </c>
      <c r="T56" s="61">
        <v>46874</v>
      </c>
      <c r="U56" s="61">
        <v>46905</v>
      </c>
      <c r="V56" s="61">
        <v>46935</v>
      </c>
      <c r="W56" s="61">
        <v>46966</v>
      </c>
      <c r="X56" s="61">
        <v>46997</v>
      </c>
      <c r="Y56" s="61">
        <v>47027</v>
      </c>
      <c r="Z56" s="61">
        <v>47058</v>
      </c>
      <c r="AA56" s="61">
        <v>47088</v>
      </c>
      <c r="AB56" s="61">
        <v>47119</v>
      </c>
      <c r="AC56" s="61">
        <v>47150</v>
      </c>
      <c r="AD56" s="61">
        <v>47178</v>
      </c>
      <c r="AE56" s="61">
        <v>47209</v>
      </c>
      <c r="AF56" s="61">
        <v>47239</v>
      </c>
      <c r="AG56" s="61">
        <v>47270</v>
      </c>
      <c r="AH56" s="61">
        <v>47300</v>
      </c>
      <c r="AI56" s="61">
        <v>47331</v>
      </c>
      <c r="AJ56" s="61">
        <v>47362</v>
      </c>
      <c r="AK56" s="61">
        <v>47392</v>
      </c>
      <c r="AL56" s="61">
        <v>47423</v>
      </c>
      <c r="AM56" s="61">
        <v>47453</v>
      </c>
    </row>
    <row r="57" spans="1:39" s="57" customFormat="1" ht="43" customHeight="1" x14ac:dyDescent="0.45">
      <c r="A57" s="127" t="s">
        <v>26</v>
      </c>
      <c r="C57" s="63"/>
      <c r="D57" s="58"/>
      <c r="E57" s="63"/>
      <c r="F57" s="63"/>
      <c r="G57" s="63"/>
      <c r="H57" s="63"/>
      <c r="I57" s="63"/>
      <c r="J57" s="63"/>
      <c r="K57" s="63"/>
      <c r="L57" s="63"/>
      <c r="M57" s="63"/>
    </row>
    <row r="58" spans="1:39" ht="15" customHeight="1" x14ac:dyDescent="0.35">
      <c r="A58" s="64" t="s">
        <v>86</v>
      </c>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s="9" customFormat="1" ht="13" x14ac:dyDescent="0.3">
      <c r="A59" s="99" t="s">
        <v>84</v>
      </c>
      <c r="C59" s="11"/>
      <c r="D59" s="11"/>
      <c r="E59" s="11"/>
      <c r="F59" s="11"/>
      <c r="G59" s="11"/>
      <c r="H59" s="11"/>
      <c r="I59" s="11"/>
      <c r="J59" s="11"/>
      <c r="K59" s="11"/>
      <c r="L59" s="11"/>
      <c r="M59" s="11"/>
    </row>
    <row r="60" spans="1:39" s="9" customFormat="1" ht="13" x14ac:dyDescent="0.3">
      <c r="A60" s="99" t="s">
        <v>85</v>
      </c>
      <c r="B60" s="99" t="s">
        <v>79</v>
      </c>
      <c r="C60" s="65"/>
      <c r="D60" s="100"/>
      <c r="E60" s="100"/>
      <c r="F60" s="100"/>
      <c r="G60" s="100"/>
      <c r="H60" s="100"/>
      <c r="I60" s="100"/>
      <c r="J60" s="100">
        <v>10</v>
      </c>
      <c r="K60" s="100">
        <v>40</v>
      </c>
      <c r="L60" s="100">
        <v>100</v>
      </c>
      <c r="M60" s="100">
        <v>80</v>
      </c>
      <c r="N60" s="100">
        <v>40</v>
      </c>
      <c r="O60" s="100">
        <v>0</v>
      </c>
      <c r="P60" s="100">
        <v>0</v>
      </c>
      <c r="Q60" s="100">
        <v>0</v>
      </c>
      <c r="R60" s="100">
        <v>20</v>
      </c>
      <c r="S60" s="100">
        <v>60</v>
      </c>
      <c r="T60" s="100">
        <v>100</v>
      </c>
      <c r="U60" s="100">
        <v>120</v>
      </c>
      <c r="V60" s="100">
        <v>120</v>
      </c>
      <c r="W60" s="100">
        <v>100</v>
      </c>
      <c r="X60" s="100">
        <v>60</v>
      </c>
      <c r="Y60" s="100">
        <v>40</v>
      </c>
      <c r="Z60" s="100">
        <v>20</v>
      </c>
      <c r="AA60" s="100">
        <v>0</v>
      </c>
      <c r="AB60" s="100">
        <v>0</v>
      </c>
      <c r="AC60" s="100">
        <v>0</v>
      </c>
      <c r="AD60" s="100">
        <v>20</v>
      </c>
      <c r="AE60" s="100">
        <v>60</v>
      </c>
      <c r="AF60" s="100">
        <v>100</v>
      </c>
      <c r="AG60" s="100">
        <v>120</v>
      </c>
      <c r="AH60" s="100">
        <v>120</v>
      </c>
      <c r="AI60" s="100">
        <v>100</v>
      </c>
      <c r="AJ60" s="100">
        <v>60</v>
      </c>
      <c r="AK60" s="100">
        <v>40</v>
      </c>
      <c r="AL60" s="100">
        <v>20</v>
      </c>
      <c r="AM60" s="100">
        <v>0</v>
      </c>
    </row>
    <row r="61" spans="1:39" s="69" customFormat="1" ht="13" x14ac:dyDescent="0.3">
      <c r="A61" s="69" t="s">
        <v>134</v>
      </c>
      <c r="B61" s="69" t="str">
        <f>B$60</f>
        <v>campsites</v>
      </c>
      <c r="C61" s="68">
        <f>SUM(D61:AM61)</f>
        <v>47275</v>
      </c>
      <c r="D61" s="68">
        <f>D60*30.5</f>
        <v>0</v>
      </c>
      <c r="E61" s="68">
        <f t="shared" ref="E61:AM61" si="3">E60*30.5</f>
        <v>0</v>
      </c>
      <c r="F61" s="68">
        <f t="shared" si="3"/>
        <v>0</v>
      </c>
      <c r="G61" s="68">
        <f t="shared" si="3"/>
        <v>0</v>
      </c>
      <c r="H61" s="68">
        <f t="shared" si="3"/>
        <v>0</v>
      </c>
      <c r="I61" s="68">
        <f t="shared" si="3"/>
        <v>0</v>
      </c>
      <c r="J61" s="68">
        <f t="shared" si="3"/>
        <v>305</v>
      </c>
      <c r="K61" s="68">
        <f t="shared" si="3"/>
        <v>1220</v>
      </c>
      <c r="L61" s="68">
        <f t="shared" si="3"/>
        <v>3050</v>
      </c>
      <c r="M61" s="68">
        <f t="shared" si="3"/>
        <v>2440</v>
      </c>
      <c r="N61" s="68">
        <f t="shared" si="3"/>
        <v>1220</v>
      </c>
      <c r="O61" s="68">
        <f t="shared" si="3"/>
        <v>0</v>
      </c>
      <c r="P61" s="68">
        <f t="shared" si="3"/>
        <v>0</v>
      </c>
      <c r="Q61" s="68">
        <f t="shared" si="3"/>
        <v>0</v>
      </c>
      <c r="R61" s="68">
        <f t="shared" si="3"/>
        <v>610</v>
      </c>
      <c r="S61" s="68">
        <f t="shared" si="3"/>
        <v>1830</v>
      </c>
      <c r="T61" s="68">
        <f t="shared" si="3"/>
        <v>3050</v>
      </c>
      <c r="U61" s="68">
        <f t="shared" si="3"/>
        <v>3660</v>
      </c>
      <c r="V61" s="68">
        <f t="shared" si="3"/>
        <v>3660</v>
      </c>
      <c r="W61" s="68">
        <f t="shared" si="3"/>
        <v>3050</v>
      </c>
      <c r="X61" s="68">
        <f t="shared" si="3"/>
        <v>1830</v>
      </c>
      <c r="Y61" s="68">
        <f t="shared" si="3"/>
        <v>1220</v>
      </c>
      <c r="Z61" s="68">
        <f t="shared" si="3"/>
        <v>610</v>
      </c>
      <c r="AA61" s="68">
        <f t="shared" si="3"/>
        <v>0</v>
      </c>
      <c r="AB61" s="68">
        <f t="shared" si="3"/>
        <v>0</v>
      </c>
      <c r="AC61" s="68">
        <f t="shared" si="3"/>
        <v>0</v>
      </c>
      <c r="AD61" s="68">
        <f t="shared" si="3"/>
        <v>610</v>
      </c>
      <c r="AE61" s="68">
        <f t="shared" si="3"/>
        <v>1830</v>
      </c>
      <c r="AF61" s="68">
        <f t="shared" si="3"/>
        <v>3050</v>
      </c>
      <c r="AG61" s="68">
        <f t="shared" si="3"/>
        <v>3660</v>
      </c>
      <c r="AH61" s="68">
        <f t="shared" si="3"/>
        <v>3660</v>
      </c>
      <c r="AI61" s="68">
        <f t="shared" si="3"/>
        <v>3050</v>
      </c>
      <c r="AJ61" s="68">
        <f t="shared" si="3"/>
        <v>1830</v>
      </c>
      <c r="AK61" s="68">
        <f t="shared" si="3"/>
        <v>1220</v>
      </c>
      <c r="AL61" s="68">
        <f t="shared" si="3"/>
        <v>610</v>
      </c>
      <c r="AM61" s="68">
        <f t="shared" si="3"/>
        <v>0</v>
      </c>
    </row>
    <row r="62" spans="1:39" s="9" customFormat="1" ht="13" x14ac:dyDescent="0.3">
      <c r="A62" s="99" t="s">
        <v>30</v>
      </c>
      <c r="B62" s="99" t="s">
        <v>75</v>
      </c>
      <c r="C62" s="68">
        <f>C63/C61</f>
        <v>80</v>
      </c>
      <c r="D62" s="100"/>
      <c r="E62" s="100"/>
      <c r="F62" s="100"/>
      <c r="G62" s="100"/>
      <c r="H62" s="100"/>
      <c r="I62" s="100"/>
      <c r="J62" s="100">
        <v>80</v>
      </c>
      <c r="K62" s="100">
        <f>J62</f>
        <v>80</v>
      </c>
      <c r="L62" s="100">
        <f t="shared" ref="L62:N62" si="4">K62</f>
        <v>80</v>
      </c>
      <c r="M62" s="100">
        <f t="shared" si="4"/>
        <v>80</v>
      </c>
      <c r="N62" s="100">
        <f t="shared" si="4"/>
        <v>80</v>
      </c>
      <c r="O62" s="100"/>
      <c r="P62" s="100"/>
      <c r="Q62" s="100"/>
      <c r="R62" s="100">
        <v>80</v>
      </c>
      <c r="S62" s="100">
        <f>R62</f>
        <v>80</v>
      </c>
      <c r="T62" s="100">
        <f t="shared" ref="T62:Z62" si="5">S62</f>
        <v>80</v>
      </c>
      <c r="U62" s="100">
        <f t="shared" si="5"/>
        <v>80</v>
      </c>
      <c r="V62" s="100">
        <f t="shared" si="5"/>
        <v>80</v>
      </c>
      <c r="W62" s="100">
        <f t="shared" si="5"/>
        <v>80</v>
      </c>
      <c r="X62" s="100">
        <f t="shared" si="5"/>
        <v>80</v>
      </c>
      <c r="Y62" s="100">
        <f t="shared" si="5"/>
        <v>80</v>
      </c>
      <c r="Z62" s="100">
        <f t="shared" si="5"/>
        <v>80</v>
      </c>
      <c r="AA62" s="100"/>
      <c r="AB62" s="100"/>
      <c r="AC62" s="100"/>
      <c r="AD62" s="100">
        <v>80</v>
      </c>
      <c r="AE62" s="100">
        <f>AD62</f>
        <v>80</v>
      </c>
      <c r="AF62" s="100">
        <f t="shared" ref="AF62:AM62" si="6">AE62</f>
        <v>80</v>
      </c>
      <c r="AG62" s="100">
        <f t="shared" si="6"/>
        <v>80</v>
      </c>
      <c r="AH62" s="100">
        <f t="shared" si="6"/>
        <v>80</v>
      </c>
      <c r="AI62" s="100">
        <f t="shared" si="6"/>
        <v>80</v>
      </c>
      <c r="AJ62" s="100">
        <f t="shared" si="6"/>
        <v>80</v>
      </c>
      <c r="AK62" s="100">
        <f t="shared" si="6"/>
        <v>80</v>
      </c>
      <c r="AL62" s="100">
        <f t="shared" si="6"/>
        <v>80</v>
      </c>
      <c r="AM62" s="100">
        <f t="shared" si="6"/>
        <v>80</v>
      </c>
    </row>
    <row r="63" spans="1:39" s="9" customFormat="1" x14ac:dyDescent="0.35">
      <c r="A63" s="8" t="s">
        <v>26</v>
      </c>
      <c r="B63" s="9" t="s">
        <v>76</v>
      </c>
      <c r="C63" s="128">
        <f>SUM(D63:AM63)</f>
        <v>3782000</v>
      </c>
      <c r="D63" s="112">
        <f>D61*D62</f>
        <v>0</v>
      </c>
      <c r="E63" s="112">
        <f t="shared" ref="E63:AM63" si="7">E61*E62</f>
        <v>0</v>
      </c>
      <c r="F63" s="112">
        <f t="shared" si="7"/>
        <v>0</v>
      </c>
      <c r="G63" s="112">
        <f t="shared" si="7"/>
        <v>0</v>
      </c>
      <c r="H63" s="112">
        <f t="shared" si="7"/>
        <v>0</v>
      </c>
      <c r="I63" s="112">
        <f t="shared" si="7"/>
        <v>0</v>
      </c>
      <c r="J63" s="112">
        <f t="shared" si="7"/>
        <v>24400</v>
      </c>
      <c r="K63" s="112">
        <f t="shared" si="7"/>
        <v>97600</v>
      </c>
      <c r="L63" s="112">
        <f t="shared" si="7"/>
        <v>244000</v>
      </c>
      <c r="M63" s="112">
        <f t="shared" si="7"/>
        <v>195200</v>
      </c>
      <c r="N63" s="112">
        <f t="shared" si="7"/>
        <v>97600</v>
      </c>
      <c r="O63" s="112">
        <f t="shared" si="7"/>
        <v>0</v>
      </c>
      <c r="P63" s="112">
        <f t="shared" si="7"/>
        <v>0</v>
      </c>
      <c r="Q63" s="112">
        <f t="shared" si="7"/>
        <v>0</v>
      </c>
      <c r="R63" s="112">
        <f t="shared" si="7"/>
        <v>48800</v>
      </c>
      <c r="S63" s="112">
        <f t="shared" si="7"/>
        <v>146400</v>
      </c>
      <c r="T63" s="112">
        <f t="shared" si="7"/>
        <v>244000</v>
      </c>
      <c r="U63" s="112">
        <f t="shared" si="7"/>
        <v>292800</v>
      </c>
      <c r="V63" s="112">
        <f t="shared" si="7"/>
        <v>292800</v>
      </c>
      <c r="W63" s="112">
        <f t="shared" si="7"/>
        <v>244000</v>
      </c>
      <c r="X63" s="112">
        <f t="shared" si="7"/>
        <v>146400</v>
      </c>
      <c r="Y63" s="112">
        <f t="shared" si="7"/>
        <v>97600</v>
      </c>
      <c r="Z63" s="112">
        <f t="shared" si="7"/>
        <v>48800</v>
      </c>
      <c r="AA63" s="112">
        <f t="shared" si="7"/>
        <v>0</v>
      </c>
      <c r="AB63" s="112">
        <f t="shared" si="7"/>
        <v>0</v>
      </c>
      <c r="AC63" s="112">
        <f t="shared" si="7"/>
        <v>0</v>
      </c>
      <c r="AD63" s="112">
        <f t="shared" si="7"/>
        <v>48800</v>
      </c>
      <c r="AE63" s="112">
        <f t="shared" si="7"/>
        <v>146400</v>
      </c>
      <c r="AF63" s="112">
        <f t="shared" si="7"/>
        <v>244000</v>
      </c>
      <c r="AG63" s="112">
        <f t="shared" si="7"/>
        <v>292800</v>
      </c>
      <c r="AH63" s="112">
        <f t="shared" si="7"/>
        <v>292800</v>
      </c>
      <c r="AI63" s="112">
        <f t="shared" si="7"/>
        <v>244000</v>
      </c>
      <c r="AJ63" s="112">
        <f t="shared" si="7"/>
        <v>146400</v>
      </c>
      <c r="AK63" s="112">
        <f t="shared" si="7"/>
        <v>97600</v>
      </c>
      <c r="AL63" s="112">
        <f t="shared" si="7"/>
        <v>48800</v>
      </c>
      <c r="AM63" s="112">
        <f t="shared" si="7"/>
        <v>0</v>
      </c>
    </row>
    <row r="64" spans="1:39" s="9" customFormat="1" x14ac:dyDescent="0.35">
      <c r="A64" s="75" t="s">
        <v>146</v>
      </c>
      <c r="B64" s="9" t="s">
        <v>148</v>
      </c>
      <c r="C64" s="116">
        <f>COUNT(D63:AM63)</f>
        <v>36</v>
      </c>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row>
    <row r="65" spans="1:39" s="57" customFormat="1" ht="43" customHeight="1" x14ac:dyDescent="0.45">
      <c r="A65" s="127" t="s">
        <v>9</v>
      </c>
      <c r="C65" s="63"/>
      <c r="D65" s="58"/>
      <c r="E65" s="63"/>
      <c r="F65" s="63"/>
      <c r="G65" s="63"/>
      <c r="H65" s="63"/>
      <c r="I65" s="63"/>
      <c r="J65" s="63"/>
      <c r="K65" s="63"/>
      <c r="L65" s="63"/>
      <c r="M65" s="63"/>
    </row>
    <row r="66" spans="1:39" s="88" customFormat="1" ht="27" customHeight="1" x14ac:dyDescent="0.35">
      <c r="A66" s="87" t="str">
        <f t="shared" ref="A66:AM66" si="8">A$56</f>
        <v>Months --&gt;</v>
      </c>
      <c r="B66" s="88" t="str">
        <f t="shared" si="8"/>
        <v>Units</v>
      </c>
      <c r="C66" s="87" t="str">
        <f t="shared" si="8"/>
        <v>Total</v>
      </c>
      <c r="D66" s="87">
        <f t="shared" si="8"/>
        <v>46388</v>
      </c>
      <c r="E66" s="87">
        <f t="shared" si="8"/>
        <v>46419</v>
      </c>
      <c r="F66" s="87">
        <f t="shared" si="8"/>
        <v>46447</v>
      </c>
      <c r="G66" s="87">
        <f t="shared" si="8"/>
        <v>46478</v>
      </c>
      <c r="H66" s="87">
        <f t="shared" si="8"/>
        <v>46508</v>
      </c>
      <c r="I66" s="87">
        <f t="shared" si="8"/>
        <v>46539</v>
      </c>
      <c r="J66" s="87">
        <f t="shared" si="8"/>
        <v>46569</v>
      </c>
      <c r="K66" s="87">
        <f t="shared" si="8"/>
        <v>46600</v>
      </c>
      <c r="L66" s="87">
        <f t="shared" si="8"/>
        <v>46631</v>
      </c>
      <c r="M66" s="87">
        <f t="shared" si="8"/>
        <v>46661</v>
      </c>
      <c r="N66" s="87">
        <f t="shared" si="8"/>
        <v>46692</v>
      </c>
      <c r="O66" s="87">
        <f t="shared" si="8"/>
        <v>46722</v>
      </c>
      <c r="P66" s="87">
        <f t="shared" si="8"/>
        <v>46753</v>
      </c>
      <c r="Q66" s="87">
        <f t="shared" si="8"/>
        <v>46784</v>
      </c>
      <c r="R66" s="87">
        <f t="shared" si="8"/>
        <v>46813</v>
      </c>
      <c r="S66" s="87">
        <f t="shared" si="8"/>
        <v>46844</v>
      </c>
      <c r="T66" s="87">
        <f t="shared" si="8"/>
        <v>46874</v>
      </c>
      <c r="U66" s="87">
        <f t="shared" si="8"/>
        <v>46905</v>
      </c>
      <c r="V66" s="87">
        <f t="shared" si="8"/>
        <v>46935</v>
      </c>
      <c r="W66" s="87">
        <f t="shared" si="8"/>
        <v>46966</v>
      </c>
      <c r="X66" s="87">
        <f t="shared" si="8"/>
        <v>46997</v>
      </c>
      <c r="Y66" s="87">
        <f t="shared" si="8"/>
        <v>47027</v>
      </c>
      <c r="Z66" s="87">
        <f t="shared" si="8"/>
        <v>47058</v>
      </c>
      <c r="AA66" s="87">
        <f t="shared" si="8"/>
        <v>47088</v>
      </c>
      <c r="AB66" s="87">
        <f t="shared" si="8"/>
        <v>47119</v>
      </c>
      <c r="AC66" s="87">
        <f t="shared" si="8"/>
        <v>47150</v>
      </c>
      <c r="AD66" s="87">
        <f t="shared" si="8"/>
        <v>47178</v>
      </c>
      <c r="AE66" s="87">
        <f t="shared" si="8"/>
        <v>47209</v>
      </c>
      <c r="AF66" s="87">
        <f t="shared" si="8"/>
        <v>47239</v>
      </c>
      <c r="AG66" s="87">
        <f t="shared" si="8"/>
        <v>47270</v>
      </c>
      <c r="AH66" s="87">
        <f t="shared" si="8"/>
        <v>47300</v>
      </c>
      <c r="AI66" s="87">
        <f t="shared" si="8"/>
        <v>47331</v>
      </c>
      <c r="AJ66" s="87">
        <f t="shared" si="8"/>
        <v>47362</v>
      </c>
      <c r="AK66" s="87">
        <f t="shared" si="8"/>
        <v>47392</v>
      </c>
      <c r="AL66" s="87">
        <f t="shared" si="8"/>
        <v>47423</v>
      </c>
      <c r="AM66" s="87">
        <f t="shared" si="8"/>
        <v>47453</v>
      </c>
    </row>
    <row r="67" spans="1:39" s="9" customFormat="1" ht="13" x14ac:dyDescent="0.3">
      <c r="A67" s="99" t="s">
        <v>104</v>
      </c>
      <c r="C67" s="11"/>
      <c r="D67" s="11"/>
      <c r="E67" s="11"/>
      <c r="F67" s="11"/>
      <c r="G67" s="11"/>
      <c r="H67" s="11"/>
      <c r="I67" s="11"/>
      <c r="J67" s="11"/>
      <c r="K67" s="11"/>
      <c r="L67" s="11"/>
      <c r="M67" s="11"/>
    </row>
    <row r="68" spans="1:39" s="9" customFormat="1" ht="13" x14ac:dyDescent="0.3">
      <c r="A68" s="103" t="s">
        <v>113</v>
      </c>
      <c r="C68" s="11"/>
      <c r="D68" s="11"/>
      <c r="E68" s="11"/>
      <c r="F68" s="11"/>
      <c r="G68" s="11"/>
      <c r="H68" s="11"/>
      <c r="I68" s="11"/>
      <c r="J68" s="11"/>
      <c r="K68" s="11"/>
      <c r="L68" s="11"/>
      <c r="M68" s="11"/>
    </row>
    <row r="69" spans="1:39" s="9" customFormat="1" ht="14.5" x14ac:dyDescent="0.35">
      <c r="A69" s="64" t="s">
        <v>40</v>
      </c>
      <c r="B69" s="71"/>
      <c r="C69" s="10"/>
      <c r="D69" s="11"/>
      <c r="E69" s="11"/>
      <c r="F69" s="11"/>
      <c r="G69" s="11"/>
      <c r="H69" s="11"/>
      <c r="I69" s="11"/>
      <c r="J69" s="11"/>
      <c r="K69" s="11"/>
      <c r="L69" s="11"/>
      <c r="M69" s="11"/>
    </row>
    <row r="70" spans="1:39" s="9" customFormat="1" ht="13" x14ac:dyDescent="0.3">
      <c r="A70" s="99" t="s">
        <v>32</v>
      </c>
      <c r="B70" s="99" t="s">
        <v>77</v>
      </c>
      <c r="C70" s="65">
        <f>SUM(D70:AM70)</f>
        <v>500000</v>
      </c>
      <c r="D70" s="100">
        <v>500000</v>
      </c>
      <c r="E70" s="100"/>
      <c r="F70" s="100"/>
      <c r="G70" s="100"/>
      <c r="H70" s="100"/>
      <c r="I70" s="100"/>
      <c r="J70" s="11"/>
      <c r="K70" s="11"/>
      <c r="L70" s="11"/>
      <c r="M70" s="11"/>
    </row>
    <row r="71" spans="1:39" s="14" customFormat="1" ht="13" x14ac:dyDescent="0.3">
      <c r="A71" s="72" t="str">
        <f>A69</f>
        <v>a. Capex - Start up - land purchase</v>
      </c>
      <c r="B71" s="72" t="s">
        <v>77</v>
      </c>
      <c r="C71" s="65">
        <f>SUM(D71:AM71)</f>
        <v>500000</v>
      </c>
      <c r="D71" s="73">
        <f t="shared" ref="D71:Y71" si="9">SUM(D70:D70)</f>
        <v>500000</v>
      </c>
      <c r="E71" s="73">
        <f t="shared" si="9"/>
        <v>0</v>
      </c>
      <c r="F71" s="73">
        <f t="shared" si="9"/>
        <v>0</v>
      </c>
      <c r="G71" s="73">
        <f t="shared" si="9"/>
        <v>0</v>
      </c>
      <c r="H71" s="73">
        <f t="shared" si="9"/>
        <v>0</v>
      </c>
      <c r="I71" s="73">
        <f t="shared" si="9"/>
        <v>0</v>
      </c>
      <c r="J71" s="73">
        <f t="shared" si="9"/>
        <v>0</v>
      </c>
      <c r="K71" s="73">
        <f t="shared" si="9"/>
        <v>0</v>
      </c>
      <c r="L71" s="73">
        <f t="shared" si="9"/>
        <v>0</v>
      </c>
      <c r="M71" s="73">
        <f t="shared" si="9"/>
        <v>0</v>
      </c>
      <c r="N71" s="73">
        <f t="shared" si="9"/>
        <v>0</v>
      </c>
      <c r="O71" s="73">
        <f t="shared" si="9"/>
        <v>0</v>
      </c>
      <c r="P71" s="73">
        <f t="shared" si="9"/>
        <v>0</v>
      </c>
      <c r="Q71" s="73">
        <f t="shared" si="9"/>
        <v>0</v>
      </c>
      <c r="R71" s="73">
        <f t="shared" si="9"/>
        <v>0</v>
      </c>
      <c r="S71" s="73">
        <f t="shared" si="9"/>
        <v>0</v>
      </c>
      <c r="T71" s="73">
        <f t="shared" si="9"/>
        <v>0</v>
      </c>
      <c r="U71" s="73">
        <f t="shared" si="9"/>
        <v>0</v>
      </c>
      <c r="V71" s="73">
        <f t="shared" si="9"/>
        <v>0</v>
      </c>
      <c r="W71" s="73">
        <f t="shared" si="9"/>
        <v>0</v>
      </c>
      <c r="X71" s="73">
        <f t="shared" si="9"/>
        <v>0</v>
      </c>
      <c r="Y71" s="73">
        <f t="shared" si="9"/>
        <v>0</v>
      </c>
      <c r="Z71" s="73">
        <f t="shared" ref="Z71" si="10">SUM(Z70:Z70)</f>
        <v>0</v>
      </c>
      <c r="AA71" s="73">
        <f t="shared" ref="AA71" si="11">SUM(AA70:AA70)</f>
        <v>0</v>
      </c>
      <c r="AB71" s="73">
        <f t="shared" ref="AB71" si="12">SUM(AB70:AB70)</f>
        <v>0</v>
      </c>
      <c r="AC71" s="73">
        <f t="shared" ref="AC71" si="13">SUM(AC70:AC70)</f>
        <v>0</v>
      </c>
      <c r="AD71" s="73">
        <f t="shared" ref="AD71" si="14">SUM(AD70:AD70)</f>
        <v>0</v>
      </c>
      <c r="AE71" s="73">
        <f t="shared" ref="AE71" si="15">SUM(AE70:AE70)</f>
        <v>0</v>
      </c>
      <c r="AF71" s="73">
        <f t="shared" ref="AF71" si="16">SUM(AF70:AF70)</f>
        <v>0</v>
      </c>
      <c r="AG71" s="73">
        <f t="shared" ref="AG71" si="17">SUM(AG70:AG70)</f>
        <v>0</v>
      </c>
      <c r="AH71" s="73">
        <f t="shared" ref="AH71" si="18">SUM(AH70:AH70)</f>
        <v>0</v>
      </c>
      <c r="AI71" s="73">
        <f t="shared" ref="AI71" si="19">SUM(AI70:AI70)</f>
        <v>0</v>
      </c>
      <c r="AJ71" s="73">
        <f t="shared" ref="AJ71" si="20">SUM(AJ70:AJ70)</f>
        <v>0</v>
      </c>
      <c r="AK71" s="73">
        <f t="shared" ref="AK71" si="21">SUM(AK70:AK70)</f>
        <v>0</v>
      </c>
      <c r="AL71" s="73">
        <f t="shared" ref="AL71" si="22">SUM(AL70:AL70)</f>
        <v>0</v>
      </c>
      <c r="AM71" s="73">
        <f t="shared" ref="AM71" si="23">SUM(AM70:AM70)</f>
        <v>0</v>
      </c>
    </row>
    <row r="72" spans="1:39" s="9" customFormat="1" ht="13" x14ac:dyDescent="0.3">
      <c r="A72" s="99"/>
      <c r="B72" s="99"/>
      <c r="C72" s="99"/>
      <c r="D72" s="100"/>
      <c r="E72" s="100"/>
      <c r="F72" s="100"/>
      <c r="G72" s="100"/>
      <c r="H72" s="100"/>
      <c r="I72" s="100"/>
      <c r="J72" s="11"/>
      <c r="K72" s="11"/>
      <c r="L72" s="11"/>
      <c r="M72" s="11"/>
    </row>
    <row r="73" spans="1:39" s="9" customFormat="1" ht="14.5" x14ac:dyDescent="0.35">
      <c r="A73" s="64" t="s">
        <v>101</v>
      </c>
      <c r="B73" s="71"/>
      <c r="C73" s="10"/>
      <c r="D73" s="11"/>
      <c r="E73" s="11"/>
      <c r="F73" s="11"/>
      <c r="G73" s="11"/>
      <c r="H73" s="11"/>
      <c r="I73" s="11"/>
      <c r="J73" s="11"/>
      <c r="K73" s="11"/>
      <c r="L73" s="11"/>
      <c r="M73" s="11"/>
    </row>
    <row r="74" spans="1:39" s="9" customFormat="1" ht="13" x14ac:dyDescent="0.3">
      <c r="A74" s="103" t="s">
        <v>114</v>
      </c>
      <c r="C74" s="11"/>
      <c r="D74" s="11"/>
      <c r="E74" s="11"/>
      <c r="F74" s="11"/>
      <c r="G74" s="11"/>
      <c r="H74" s="11"/>
      <c r="I74" s="11"/>
      <c r="J74" s="11"/>
      <c r="K74" s="11"/>
      <c r="L74" s="11"/>
      <c r="M74" s="11"/>
    </row>
    <row r="75" spans="1:39" s="9" customFormat="1" ht="13" x14ac:dyDescent="0.3">
      <c r="A75" s="99" t="s">
        <v>83</v>
      </c>
      <c r="B75" s="99" t="s">
        <v>77</v>
      </c>
      <c r="C75" s="65">
        <f>SUM(D75:AM75)</f>
        <v>200000</v>
      </c>
      <c r="D75" s="100">
        <v>100000</v>
      </c>
      <c r="E75" s="100">
        <v>100000</v>
      </c>
      <c r="F75" s="100"/>
      <c r="G75" s="100"/>
      <c r="H75" s="100"/>
      <c r="I75" s="100"/>
      <c r="J75" s="11"/>
      <c r="K75" s="11"/>
      <c r="L75" s="11"/>
      <c r="M75" s="11"/>
    </row>
    <row r="76" spans="1:39" s="9" customFormat="1" ht="13" x14ac:dyDescent="0.3">
      <c r="A76" s="99" t="s">
        <v>81</v>
      </c>
      <c r="B76" s="99" t="s">
        <v>77</v>
      </c>
      <c r="C76" s="65">
        <f>SUM(D76:AM76)</f>
        <v>1000000</v>
      </c>
      <c r="D76" s="100"/>
      <c r="E76" s="100">
        <v>200000</v>
      </c>
      <c r="F76" s="100">
        <v>200000</v>
      </c>
      <c r="G76" s="100">
        <v>200000</v>
      </c>
      <c r="H76" s="100">
        <v>200000</v>
      </c>
      <c r="I76" s="100">
        <v>200000</v>
      </c>
      <c r="J76" s="11"/>
      <c r="K76" s="11"/>
      <c r="L76" s="11"/>
      <c r="M76" s="11"/>
    </row>
    <row r="77" spans="1:39" s="9" customFormat="1" ht="13" x14ac:dyDescent="0.3">
      <c r="A77" s="99" t="s">
        <v>82</v>
      </c>
      <c r="B77" s="99" t="s">
        <v>77</v>
      </c>
      <c r="C77" s="65">
        <f>SUM(D77:AM77)</f>
        <v>125000</v>
      </c>
      <c r="D77" s="100">
        <v>25000</v>
      </c>
      <c r="E77" s="100">
        <v>25000</v>
      </c>
      <c r="F77" s="100">
        <v>25000</v>
      </c>
      <c r="G77" s="100">
        <v>25000</v>
      </c>
      <c r="H77" s="100">
        <v>25000</v>
      </c>
      <c r="I77" s="100"/>
      <c r="J77" s="11"/>
      <c r="K77" s="11"/>
      <c r="L77" s="11"/>
      <c r="M77" s="11"/>
    </row>
    <row r="78" spans="1:39" s="14" customFormat="1" ht="13" x14ac:dyDescent="0.3">
      <c r="A78" s="72" t="str">
        <f>A73</f>
        <v>b. Capex - Start up - 'Capital Works'</v>
      </c>
      <c r="B78" s="72" t="s">
        <v>77</v>
      </c>
      <c r="C78" s="65">
        <f>SUM(D78:AM78)</f>
        <v>1325000</v>
      </c>
      <c r="D78" s="73">
        <f>SUM(D75:D77)</f>
        <v>125000</v>
      </c>
      <c r="E78" s="73">
        <f t="shared" ref="E78:Y78" si="24">SUM(E75:E77)</f>
        <v>325000</v>
      </c>
      <c r="F78" s="73">
        <f>SUM(F75:F77)</f>
        <v>225000</v>
      </c>
      <c r="G78" s="73">
        <f t="shared" si="24"/>
        <v>225000</v>
      </c>
      <c r="H78" s="73">
        <f t="shared" si="24"/>
        <v>225000</v>
      </c>
      <c r="I78" s="73">
        <f t="shared" si="24"/>
        <v>200000</v>
      </c>
      <c r="J78" s="73">
        <f t="shared" si="24"/>
        <v>0</v>
      </c>
      <c r="K78" s="73">
        <f t="shared" si="24"/>
        <v>0</v>
      </c>
      <c r="L78" s="73">
        <f t="shared" si="24"/>
        <v>0</v>
      </c>
      <c r="M78" s="73">
        <f t="shared" si="24"/>
        <v>0</v>
      </c>
      <c r="N78" s="73">
        <f t="shared" si="24"/>
        <v>0</v>
      </c>
      <c r="O78" s="73">
        <f t="shared" si="24"/>
        <v>0</v>
      </c>
      <c r="P78" s="73">
        <f t="shared" si="24"/>
        <v>0</v>
      </c>
      <c r="Q78" s="73">
        <f t="shared" si="24"/>
        <v>0</v>
      </c>
      <c r="R78" s="73">
        <f t="shared" si="24"/>
        <v>0</v>
      </c>
      <c r="S78" s="73">
        <f t="shared" si="24"/>
        <v>0</v>
      </c>
      <c r="T78" s="73">
        <f t="shared" si="24"/>
        <v>0</v>
      </c>
      <c r="U78" s="73">
        <f t="shared" si="24"/>
        <v>0</v>
      </c>
      <c r="V78" s="73">
        <f t="shared" si="24"/>
        <v>0</v>
      </c>
      <c r="W78" s="73">
        <f t="shared" si="24"/>
        <v>0</v>
      </c>
      <c r="X78" s="73">
        <f t="shared" si="24"/>
        <v>0</v>
      </c>
      <c r="Y78" s="73">
        <f t="shared" si="24"/>
        <v>0</v>
      </c>
      <c r="Z78" s="73">
        <f t="shared" ref="Z78:AM78" si="25">SUM(Z75:Z77)</f>
        <v>0</v>
      </c>
      <c r="AA78" s="73">
        <f t="shared" si="25"/>
        <v>0</v>
      </c>
      <c r="AB78" s="73">
        <f t="shared" si="25"/>
        <v>0</v>
      </c>
      <c r="AC78" s="73">
        <f t="shared" si="25"/>
        <v>0</v>
      </c>
      <c r="AD78" s="73">
        <f t="shared" si="25"/>
        <v>0</v>
      </c>
      <c r="AE78" s="73">
        <f t="shared" si="25"/>
        <v>0</v>
      </c>
      <c r="AF78" s="73">
        <f t="shared" si="25"/>
        <v>0</v>
      </c>
      <c r="AG78" s="73">
        <f t="shared" si="25"/>
        <v>0</v>
      </c>
      <c r="AH78" s="73">
        <f t="shared" si="25"/>
        <v>0</v>
      </c>
      <c r="AI78" s="73">
        <f t="shared" si="25"/>
        <v>0</v>
      </c>
      <c r="AJ78" s="73">
        <f t="shared" si="25"/>
        <v>0</v>
      </c>
      <c r="AK78" s="73">
        <f t="shared" si="25"/>
        <v>0</v>
      </c>
      <c r="AL78" s="73">
        <f t="shared" si="25"/>
        <v>0</v>
      </c>
      <c r="AM78" s="73">
        <f t="shared" si="25"/>
        <v>0</v>
      </c>
    </row>
    <row r="79" spans="1:39" s="9" customFormat="1" ht="13" x14ac:dyDescent="0.3">
      <c r="A79" s="99"/>
      <c r="B79" s="99"/>
      <c r="C79" s="99"/>
      <c r="D79" s="100"/>
      <c r="E79" s="100"/>
      <c r="F79" s="100"/>
      <c r="G79" s="100"/>
      <c r="H79" s="100"/>
      <c r="I79" s="100"/>
      <c r="J79" s="11"/>
      <c r="K79" s="11"/>
      <c r="L79" s="11"/>
      <c r="M79" s="11"/>
    </row>
    <row r="80" spans="1:39" s="9" customFormat="1" ht="14.5" x14ac:dyDescent="0.35">
      <c r="A80" s="64" t="s">
        <v>102</v>
      </c>
      <c r="B80" s="71"/>
      <c r="C80" s="10"/>
      <c r="D80" s="11"/>
      <c r="E80" s="11"/>
      <c r="F80" s="11"/>
      <c r="G80" s="11"/>
      <c r="H80" s="11"/>
      <c r="I80" s="11"/>
      <c r="J80" s="11"/>
      <c r="K80" s="11"/>
      <c r="L80" s="11"/>
      <c r="M80" s="11"/>
    </row>
    <row r="81" spans="1:39" s="9" customFormat="1" ht="13" x14ac:dyDescent="0.3">
      <c r="A81" s="103" t="s">
        <v>115</v>
      </c>
      <c r="C81" s="11"/>
      <c r="D81" s="11"/>
      <c r="E81" s="11"/>
      <c r="F81" s="11"/>
      <c r="G81" s="11"/>
      <c r="H81" s="11"/>
      <c r="I81" s="11"/>
      <c r="J81" s="11"/>
      <c r="K81" s="11"/>
      <c r="L81" s="11"/>
      <c r="M81" s="11"/>
    </row>
    <row r="82" spans="1:39" s="9" customFormat="1" ht="13" x14ac:dyDescent="0.3">
      <c r="A82" s="99" t="s">
        <v>89</v>
      </c>
      <c r="B82" s="99" t="s">
        <v>77</v>
      </c>
      <c r="C82" s="65">
        <f>SUM(D82:AM82)</f>
        <v>200000</v>
      </c>
      <c r="D82" s="100">
        <v>200000</v>
      </c>
      <c r="E82" s="100"/>
      <c r="F82" s="100"/>
      <c r="G82" s="100"/>
      <c r="H82" s="100"/>
      <c r="I82" s="100"/>
      <c r="J82" s="11"/>
      <c r="K82" s="11"/>
      <c r="L82" s="11"/>
      <c r="M82" s="11"/>
    </row>
    <row r="83" spans="1:39" s="9" customFormat="1" ht="13" x14ac:dyDescent="0.3">
      <c r="A83" s="99" t="s">
        <v>90</v>
      </c>
      <c r="B83" s="99" t="s">
        <v>77</v>
      </c>
      <c r="C83" s="65">
        <f>SUM(D83:AM83)</f>
        <v>30000</v>
      </c>
      <c r="D83" s="100">
        <v>5000</v>
      </c>
      <c r="E83" s="100">
        <v>5000</v>
      </c>
      <c r="F83" s="100">
        <v>5000</v>
      </c>
      <c r="G83" s="100">
        <v>5000</v>
      </c>
      <c r="H83" s="100">
        <v>5000</v>
      </c>
      <c r="I83" s="100">
        <v>5000</v>
      </c>
      <c r="J83" s="11"/>
      <c r="K83" s="11"/>
      <c r="L83" s="11"/>
      <c r="M83" s="11"/>
    </row>
    <row r="84" spans="1:39" s="9" customFormat="1" ht="13" x14ac:dyDescent="0.3">
      <c r="A84" s="99" t="s">
        <v>92</v>
      </c>
      <c r="B84" s="99" t="s">
        <v>77</v>
      </c>
      <c r="C84" s="65">
        <f>SUM(D84:AM84)</f>
        <v>150000</v>
      </c>
      <c r="D84" s="100">
        <v>100000</v>
      </c>
      <c r="E84" s="100">
        <v>10000</v>
      </c>
      <c r="F84" s="100">
        <v>10000</v>
      </c>
      <c r="G84" s="100">
        <v>10000</v>
      </c>
      <c r="H84" s="100">
        <v>10000</v>
      </c>
      <c r="I84" s="100">
        <v>10000</v>
      </c>
      <c r="J84" s="11"/>
      <c r="K84" s="11"/>
      <c r="L84" s="11"/>
      <c r="M84" s="11"/>
    </row>
    <row r="85" spans="1:39" s="9" customFormat="1" ht="13" x14ac:dyDescent="0.3">
      <c r="A85" s="99" t="s">
        <v>91</v>
      </c>
      <c r="B85" s="99" t="s">
        <v>77</v>
      </c>
      <c r="C85" s="65">
        <f t="shared" ref="C85:C90" si="26">SUM(D85:AM85)</f>
        <v>1000</v>
      </c>
      <c r="D85" s="100">
        <v>1000</v>
      </c>
      <c r="E85" s="100"/>
      <c r="F85" s="100"/>
      <c r="G85" s="100"/>
      <c r="H85" s="100"/>
      <c r="I85" s="100"/>
      <c r="J85" s="11"/>
      <c r="K85" s="11"/>
      <c r="L85" s="11"/>
      <c r="M85" s="11"/>
    </row>
    <row r="86" spans="1:39" s="14" customFormat="1" ht="13" x14ac:dyDescent="0.3">
      <c r="A86" s="72" t="str">
        <f>A80</f>
        <v>c. Capex- Start up "Simpler Depreciation for Small Business "</v>
      </c>
      <c r="B86" s="72" t="s">
        <v>77</v>
      </c>
      <c r="C86" s="65">
        <f>SUM(D86:AM86)</f>
        <v>381000</v>
      </c>
      <c r="D86" s="73">
        <f>SUM(D82:D85)</f>
        <v>306000</v>
      </c>
      <c r="E86" s="73">
        <f t="shared" ref="E86:AM86" si="27">SUM(E82:E85)</f>
        <v>15000</v>
      </c>
      <c r="F86" s="73">
        <f t="shared" si="27"/>
        <v>15000</v>
      </c>
      <c r="G86" s="73">
        <f t="shared" si="27"/>
        <v>15000</v>
      </c>
      <c r="H86" s="73">
        <f t="shared" si="27"/>
        <v>15000</v>
      </c>
      <c r="I86" s="73">
        <f t="shared" si="27"/>
        <v>15000</v>
      </c>
      <c r="J86" s="73">
        <f t="shared" si="27"/>
        <v>0</v>
      </c>
      <c r="K86" s="73">
        <f t="shared" si="27"/>
        <v>0</v>
      </c>
      <c r="L86" s="73">
        <f t="shared" si="27"/>
        <v>0</v>
      </c>
      <c r="M86" s="73">
        <f t="shared" si="27"/>
        <v>0</v>
      </c>
      <c r="N86" s="73">
        <f t="shared" si="27"/>
        <v>0</v>
      </c>
      <c r="O86" s="73">
        <f t="shared" si="27"/>
        <v>0</v>
      </c>
      <c r="P86" s="73">
        <f t="shared" si="27"/>
        <v>0</v>
      </c>
      <c r="Q86" s="73">
        <f t="shared" si="27"/>
        <v>0</v>
      </c>
      <c r="R86" s="73">
        <f t="shared" si="27"/>
        <v>0</v>
      </c>
      <c r="S86" s="73">
        <f t="shared" si="27"/>
        <v>0</v>
      </c>
      <c r="T86" s="73">
        <f t="shared" si="27"/>
        <v>0</v>
      </c>
      <c r="U86" s="73">
        <f t="shared" si="27"/>
        <v>0</v>
      </c>
      <c r="V86" s="73">
        <f t="shared" si="27"/>
        <v>0</v>
      </c>
      <c r="W86" s="73">
        <f t="shared" si="27"/>
        <v>0</v>
      </c>
      <c r="X86" s="73">
        <f t="shared" si="27"/>
        <v>0</v>
      </c>
      <c r="Y86" s="73">
        <f t="shared" si="27"/>
        <v>0</v>
      </c>
      <c r="Z86" s="73">
        <f t="shared" si="27"/>
        <v>0</v>
      </c>
      <c r="AA86" s="73">
        <f t="shared" si="27"/>
        <v>0</v>
      </c>
      <c r="AB86" s="73">
        <f t="shared" si="27"/>
        <v>0</v>
      </c>
      <c r="AC86" s="73">
        <f t="shared" si="27"/>
        <v>0</v>
      </c>
      <c r="AD86" s="73">
        <f t="shared" si="27"/>
        <v>0</v>
      </c>
      <c r="AE86" s="73">
        <f t="shared" si="27"/>
        <v>0</v>
      </c>
      <c r="AF86" s="73">
        <f t="shared" si="27"/>
        <v>0</v>
      </c>
      <c r="AG86" s="73">
        <f t="shared" si="27"/>
        <v>0</v>
      </c>
      <c r="AH86" s="73">
        <f t="shared" si="27"/>
        <v>0</v>
      </c>
      <c r="AI86" s="73">
        <f t="shared" si="27"/>
        <v>0</v>
      </c>
      <c r="AJ86" s="73">
        <f t="shared" si="27"/>
        <v>0</v>
      </c>
      <c r="AK86" s="73">
        <f t="shared" si="27"/>
        <v>0</v>
      </c>
      <c r="AL86" s="73">
        <f t="shared" si="27"/>
        <v>0</v>
      </c>
      <c r="AM86" s="73">
        <f t="shared" si="27"/>
        <v>0</v>
      </c>
    </row>
    <row r="87" spans="1:39" s="9" customFormat="1" ht="13" x14ac:dyDescent="0.3">
      <c r="A87" s="99"/>
      <c r="B87" s="99"/>
      <c r="C87" s="99"/>
      <c r="D87" s="100"/>
      <c r="E87" s="100"/>
      <c r="F87" s="100"/>
      <c r="G87" s="100"/>
      <c r="H87" s="100"/>
      <c r="I87" s="100"/>
      <c r="J87" s="11"/>
      <c r="K87" s="11"/>
      <c r="L87" s="11"/>
      <c r="M87" s="11"/>
    </row>
    <row r="88" spans="1:39" s="9" customFormat="1" ht="14.5" x14ac:dyDescent="0.35">
      <c r="A88" s="64" t="s">
        <v>130</v>
      </c>
      <c r="B88" s="71"/>
      <c r="C88" s="10"/>
      <c r="D88" s="11"/>
      <c r="E88" s="11"/>
      <c r="F88" s="11"/>
      <c r="G88" s="11"/>
      <c r="H88" s="11"/>
      <c r="I88" s="11"/>
      <c r="J88" s="11"/>
      <c r="K88" s="11"/>
      <c r="L88" s="11"/>
      <c r="M88" s="11"/>
    </row>
    <row r="89" spans="1:39" s="9" customFormat="1" ht="13" x14ac:dyDescent="0.3">
      <c r="A89" s="99" t="s">
        <v>23</v>
      </c>
      <c r="B89" s="99" t="s">
        <v>76</v>
      </c>
      <c r="C89" s="65">
        <f t="shared" si="26"/>
        <v>300000</v>
      </c>
      <c r="D89" s="100"/>
      <c r="E89" s="100"/>
      <c r="F89" s="100"/>
      <c r="G89" s="100"/>
      <c r="H89" s="100"/>
      <c r="I89" s="100"/>
      <c r="J89" s="100">
        <v>10000</v>
      </c>
      <c r="K89" s="100">
        <f>J89</f>
        <v>10000</v>
      </c>
      <c r="L89" s="100">
        <f t="shared" ref="L89:Y89" si="28">K89</f>
        <v>10000</v>
      </c>
      <c r="M89" s="100">
        <f t="shared" si="28"/>
        <v>10000</v>
      </c>
      <c r="N89" s="100">
        <f t="shared" si="28"/>
        <v>10000</v>
      </c>
      <c r="O89" s="100">
        <f t="shared" si="28"/>
        <v>10000</v>
      </c>
      <c r="P89" s="100">
        <f t="shared" si="28"/>
        <v>10000</v>
      </c>
      <c r="Q89" s="100">
        <f t="shared" si="28"/>
        <v>10000</v>
      </c>
      <c r="R89" s="100">
        <f t="shared" si="28"/>
        <v>10000</v>
      </c>
      <c r="S89" s="100">
        <f t="shared" si="28"/>
        <v>10000</v>
      </c>
      <c r="T89" s="100">
        <f t="shared" si="28"/>
        <v>10000</v>
      </c>
      <c r="U89" s="100">
        <f t="shared" si="28"/>
        <v>10000</v>
      </c>
      <c r="V89" s="100">
        <f t="shared" si="28"/>
        <v>10000</v>
      </c>
      <c r="W89" s="100">
        <f t="shared" si="28"/>
        <v>10000</v>
      </c>
      <c r="X89" s="100">
        <f t="shared" si="28"/>
        <v>10000</v>
      </c>
      <c r="Y89" s="100">
        <f t="shared" si="28"/>
        <v>10000</v>
      </c>
      <c r="Z89" s="100">
        <f t="shared" ref="Z89" si="29">Y89</f>
        <v>10000</v>
      </c>
      <c r="AA89" s="100">
        <f t="shared" ref="AA89" si="30">Z89</f>
        <v>10000</v>
      </c>
      <c r="AB89" s="100">
        <f t="shared" ref="AB89" si="31">AA89</f>
        <v>10000</v>
      </c>
      <c r="AC89" s="100">
        <f t="shared" ref="AC89" si="32">AB89</f>
        <v>10000</v>
      </c>
      <c r="AD89" s="100">
        <f t="shared" ref="AD89" si="33">AC89</f>
        <v>10000</v>
      </c>
      <c r="AE89" s="100">
        <f t="shared" ref="AE89" si="34">AD89</f>
        <v>10000</v>
      </c>
      <c r="AF89" s="100">
        <f t="shared" ref="AF89" si="35">AE89</f>
        <v>10000</v>
      </c>
      <c r="AG89" s="100">
        <f t="shared" ref="AG89" si="36">AF89</f>
        <v>10000</v>
      </c>
      <c r="AH89" s="100">
        <f t="shared" ref="AH89" si="37">AG89</f>
        <v>10000</v>
      </c>
      <c r="AI89" s="100">
        <f t="shared" ref="AI89" si="38">AH89</f>
        <v>10000</v>
      </c>
      <c r="AJ89" s="100">
        <f t="shared" ref="AJ89" si="39">AI89</f>
        <v>10000</v>
      </c>
      <c r="AK89" s="100">
        <f t="shared" ref="AK89" si="40">AJ89</f>
        <v>10000</v>
      </c>
      <c r="AL89" s="100">
        <f t="shared" ref="AL89" si="41">AK89</f>
        <v>10000</v>
      </c>
      <c r="AM89" s="100">
        <f t="shared" ref="AM89" si="42">AL89</f>
        <v>10000</v>
      </c>
    </row>
    <row r="90" spans="1:39" s="14" customFormat="1" ht="13" x14ac:dyDescent="0.3">
      <c r="A90" s="72" t="str">
        <f>A88</f>
        <v>d. Capex- Ongoing "Simpler Depreciation for Small Business "</v>
      </c>
      <c r="B90" s="72" t="s">
        <v>76</v>
      </c>
      <c r="C90" s="65">
        <f t="shared" si="26"/>
        <v>300000</v>
      </c>
      <c r="D90" s="73">
        <f>D89</f>
        <v>0</v>
      </c>
      <c r="E90" s="73">
        <f t="shared" ref="E90:AM90" si="43">E89</f>
        <v>0</v>
      </c>
      <c r="F90" s="73">
        <f t="shared" si="43"/>
        <v>0</v>
      </c>
      <c r="G90" s="73">
        <f t="shared" si="43"/>
        <v>0</v>
      </c>
      <c r="H90" s="73">
        <f t="shared" si="43"/>
        <v>0</v>
      </c>
      <c r="I90" s="73">
        <f t="shared" si="43"/>
        <v>0</v>
      </c>
      <c r="J90" s="73">
        <f t="shared" si="43"/>
        <v>10000</v>
      </c>
      <c r="K90" s="73">
        <f t="shared" si="43"/>
        <v>10000</v>
      </c>
      <c r="L90" s="73">
        <f t="shared" si="43"/>
        <v>10000</v>
      </c>
      <c r="M90" s="73">
        <f t="shared" si="43"/>
        <v>10000</v>
      </c>
      <c r="N90" s="73">
        <f t="shared" si="43"/>
        <v>10000</v>
      </c>
      <c r="O90" s="73">
        <f t="shared" si="43"/>
        <v>10000</v>
      </c>
      <c r="P90" s="73">
        <f t="shared" si="43"/>
        <v>10000</v>
      </c>
      <c r="Q90" s="73">
        <f t="shared" si="43"/>
        <v>10000</v>
      </c>
      <c r="R90" s="73">
        <f t="shared" si="43"/>
        <v>10000</v>
      </c>
      <c r="S90" s="73">
        <f t="shared" si="43"/>
        <v>10000</v>
      </c>
      <c r="T90" s="73">
        <f t="shared" si="43"/>
        <v>10000</v>
      </c>
      <c r="U90" s="73">
        <f t="shared" si="43"/>
        <v>10000</v>
      </c>
      <c r="V90" s="73">
        <f t="shared" si="43"/>
        <v>10000</v>
      </c>
      <c r="W90" s="73">
        <f t="shared" si="43"/>
        <v>10000</v>
      </c>
      <c r="X90" s="73">
        <f t="shared" si="43"/>
        <v>10000</v>
      </c>
      <c r="Y90" s="73">
        <f t="shared" si="43"/>
        <v>10000</v>
      </c>
      <c r="Z90" s="73">
        <f t="shared" si="43"/>
        <v>10000</v>
      </c>
      <c r="AA90" s="73">
        <f t="shared" si="43"/>
        <v>10000</v>
      </c>
      <c r="AB90" s="73">
        <f t="shared" si="43"/>
        <v>10000</v>
      </c>
      <c r="AC90" s="73">
        <f t="shared" si="43"/>
        <v>10000</v>
      </c>
      <c r="AD90" s="73">
        <f t="shared" si="43"/>
        <v>10000</v>
      </c>
      <c r="AE90" s="73">
        <f t="shared" si="43"/>
        <v>10000</v>
      </c>
      <c r="AF90" s="73">
        <f t="shared" si="43"/>
        <v>10000</v>
      </c>
      <c r="AG90" s="73">
        <f t="shared" si="43"/>
        <v>10000</v>
      </c>
      <c r="AH90" s="73">
        <f t="shared" si="43"/>
        <v>10000</v>
      </c>
      <c r="AI90" s="73">
        <f t="shared" si="43"/>
        <v>10000</v>
      </c>
      <c r="AJ90" s="73">
        <f t="shared" si="43"/>
        <v>10000</v>
      </c>
      <c r="AK90" s="73">
        <f t="shared" si="43"/>
        <v>10000</v>
      </c>
      <c r="AL90" s="73">
        <f t="shared" si="43"/>
        <v>10000</v>
      </c>
      <c r="AM90" s="73">
        <f t="shared" si="43"/>
        <v>10000</v>
      </c>
    </row>
    <row r="91" spans="1:39" s="9" customFormat="1" ht="13" x14ac:dyDescent="0.3">
      <c r="A91" s="69"/>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row>
    <row r="92" spans="1:39" s="9" customFormat="1" x14ac:dyDescent="0.35">
      <c r="A92" s="8" t="s">
        <v>9</v>
      </c>
      <c r="B92" s="9" t="s">
        <v>76</v>
      </c>
      <c r="C92" s="128">
        <f>SUM(D92:AM92)</f>
        <v>2506000</v>
      </c>
      <c r="D92" s="112">
        <f t="shared" ref="D92:AM92" si="44">D71+D78+D86+D90</f>
        <v>931000</v>
      </c>
      <c r="E92" s="112">
        <f t="shared" si="44"/>
        <v>340000</v>
      </c>
      <c r="F92" s="112">
        <f t="shared" si="44"/>
        <v>240000</v>
      </c>
      <c r="G92" s="112">
        <f t="shared" si="44"/>
        <v>240000</v>
      </c>
      <c r="H92" s="112">
        <f t="shared" si="44"/>
        <v>240000</v>
      </c>
      <c r="I92" s="112">
        <f t="shared" si="44"/>
        <v>215000</v>
      </c>
      <c r="J92" s="112">
        <f t="shared" si="44"/>
        <v>10000</v>
      </c>
      <c r="K92" s="112">
        <f t="shared" si="44"/>
        <v>10000</v>
      </c>
      <c r="L92" s="112">
        <f t="shared" si="44"/>
        <v>10000</v>
      </c>
      <c r="M92" s="112">
        <f t="shared" si="44"/>
        <v>10000</v>
      </c>
      <c r="N92" s="112">
        <f t="shared" si="44"/>
        <v>10000</v>
      </c>
      <c r="O92" s="112">
        <f t="shared" si="44"/>
        <v>10000</v>
      </c>
      <c r="P92" s="112">
        <f t="shared" si="44"/>
        <v>10000</v>
      </c>
      <c r="Q92" s="112">
        <f t="shared" si="44"/>
        <v>10000</v>
      </c>
      <c r="R92" s="112">
        <f t="shared" si="44"/>
        <v>10000</v>
      </c>
      <c r="S92" s="112">
        <f t="shared" si="44"/>
        <v>10000</v>
      </c>
      <c r="T92" s="112">
        <f t="shared" si="44"/>
        <v>10000</v>
      </c>
      <c r="U92" s="112">
        <f t="shared" si="44"/>
        <v>10000</v>
      </c>
      <c r="V92" s="112">
        <f t="shared" si="44"/>
        <v>10000</v>
      </c>
      <c r="W92" s="112">
        <f t="shared" si="44"/>
        <v>10000</v>
      </c>
      <c r="X92" s="112">
        <f t="shared" si="44"/>
        <v>10000</v>
      </c>
      <c r="Y92" s="112">
        <f t="shared" si="44"/>
        <v>10000</v>
      </c>
      <c r="Z92" s="112">
        <f t="shared" si="44"/>
        <v>10000</v>
      </c>
      <c r="AA92" s="112">
        <f t="shared" si="44"/>
        <v>10000</v>
      </c>
      <c r="AB92" s="112">
        <f t="shared" si="44"/>
        <v>10000</v>
      </c>
      <c r="AC92" s="112">
        <f t="shared" si="44"/>
        <v>10000</v>
      </c>
      <c r="AD92" s="112">
        <f t="shared" si="44"/>
        <v>10000</v>
      </c>
      <c r="AE92" s="112">
        <f t="shared" si="44"/>
        <v>10000</v>
      </c>
      <c r="AF92" s="112">
        <f t="shared" si="44"/>
        <v>10000</v>
      </c>
      <c r="AG92" s="112">
        <f t="shared" si="44"/>
        <v>10000</v>
      </c>
      <c r="AH92" s="112">
        <f t="shared" si="44"/>
        <v>10000</v>
      </c>
      <c r="AI92" s="112">
        <f t="shared" si="44"/>
        <v>10000</v>
      </c>
      <c r="AJ92" s="112">
        <f t="shared" si="44"/>
        <v>10000</v>
      </c>
      <c r="AK92" s="112">
        <f t="shared" si="44"/>
        <v>10000</v>
      </c>
      <c r="AL92" s="112">
        <f t="shared" si="44"/>
        <v>10000</v>
      </c>
      <c r="AM92" s="112">
        <f t="shared" si="44"/>
        <v>10000</v>
      </c>
    </row>
    <row r="93" spans="1:39" s="9" customFormat="1" ht="15.5" customHeight="1" x14ac:dyDescent="0.3">
      <c r="A93" s="10"/>
      <c r="C93" s="11"/>
      <c r="D93" s="11"/>
      <c r="E93" s="11"/>
      <c r="F93" s="11"/>
      <c r="G93" s="11"/>
      <c r="H93" s="11"/>
      <c r="I93" s="11"/>
      <c r="J93" s="11"/>
      <c r="K93" s="11"/>
      <c r="L93" s="11"/>
      <c r="M93" s="11"/>
    </row>
    <row r="94" spans="1:39" s="57" customFormat="1" ht="43" customHeight="1" x14ac:dyDescent="0.45">
      <c r="A94" s="127" t="s">
        <v>10</v>
      </c>
      <c r="C94" s="63"/>
      <c r="D94" s="58"/>
      <c r="E94" s="63"/>
      <c r="F94" s="63"/>
      <c r="G94" s="63"/>
      <c r="H94" s="63"/>
      <c r="I94" s="63"/>
      <c r="J94" s="63"/>
      <c r="K94" s="63"/>
      <c r="L94" s="63"/>
      <c r="M94" s="63"/>
    </row>
    <row r="95" spans="1:39" s="9" customFormat="1" ht="13" x14ac:dyDescent="0.3">
      <c r="A95" s="49" t="s">
        <v>139</v>
      </c>
      <c r="C95" s="11"/>
      <c r="D95" s="11"/>
      <c r="E95" s="11"/>
      <c r="F95" s="11"/>
      <c r="G95" s="11"/>
      <c r="H95" s="11"/>
      <c r="I95" s="11"/>
      <c r="J95" s="11"/>
      <c r="K95" s="11"/>
      <c r="L95" s="11"/>
      <c r="M95" s="11"/>
    </row>
    <row r="96" spans="1:39" s="9" customFormat="1" ht="13" x14ac:dyDescent="0.3">
      <c r="A96" s="49" t="s">
        <v>140</v>
      </c>
      <c r="C96" s="11"/>
      <c r="D96" s="11"/>
      <c r="E96" s="11"/>
      <c r="F96" s="11"/>
      <c r="G96" s="11"/>
      <c r="H96" s="11"/>
      <c r="I96" s="11"/>
      <c r="J96" s="11"/>
      <c r="K96" s="11"/>
      <c r="L96" s="11"/>
      <c r="M96" s="11"/>
    </row>
    <row r="97" spans="1:39" s="88" customFormat="1" ht="27" customHeight="1" x14ac:dyDescent="0.35">
      <c r="A97" s="87" t="str">
        <f t="shared" ref="A97:AM97" si="45">A$56</f>
        <v>Months --&gt;</v>
      </c>
      <c r="B97" s="88" t="str">
        <f t="shared" si="45"/>
        <v>Units</v>
      </c>
      <c r="C97" s="87" t="str">
        <f t="shared" si="45"/>
        <v>Total</v>
      </c>
      <c r="D97" s="87">
        <f t="shared" si="45"/>
        <v>46388</v>
      </c>
      <c r="E97" s="87">
        <f t="shared" si="45"/>
        <v>46419</v>
      </c>
      <c r="F97" s="87">
        <f t="shared" si="45"/>
        <v>46447</v>
      </c>
      <c r="G97" s="87">
        <f t="shared" si="45"/>
        <v>46478</v>
      </c>
      <c r="H97" s="87">
        <f t="shared" si="45"/>
        <v>46508</v>
      </c>
      <c r="I97" s="87">
        <f t="shared" si="45"/>
        <v>46539</v>
      </c>
      <c r="J97" s="87">
        <f t="shared" si="45"/>
        <v>46569</v>
      </c>
      <c r="K97" s="87">
        <f t="shared" si="45"/>
        <v>46600</v>
      </c>
      <c r="L97" s="87">
        <f t="shared" si="45"/>
        <v>46631</v>
      </c>
      <c r="M97" s="87">
        <f t="shared" si="45"/>
        <v>46661</v>
      </c>
      <c r="N97" s="87">
        <f t="shared" si="45"/>
        <v>46692</v>
      </c>
      <c r="O97" s="87">
        <f t="shared" si="45"/>
        <v>46722</v>
      </c>
      <c r="P97" s="87">
        <f t="shared" si="45"/>
        <v>46753</v>
      </c>
      <c r="Q97" s="87">
        <f t="shared" si="45"/>
        <v>46784</v>
      </c>
      <c r="R97" s="87">
        <f t="shared" si="45"/>
        <v>46813</v>
      </c>
      <c r="S97" s="87">
        <f t="shared" si="45"/>
        <v>46844</v>
      </c>
      <c r="T97" s="87">
        <f t="shared" si="45"/>
        <v>46874</v>
      </c>
      <c r="U97" s="87">
        <f t="shared" si="45"/>
        <v>46905</v>
      </c>
      <c r="V97" s="87">
        <f t="shared" si="45"/>
        <v>46935</v>
      </c>
      <c r="W97" s="87">
        <f t="shared" si="45"/>
        <v>46966</v>
      </c>
      <c r="X97" s="87">
        <f t="shared" si="45"/>
        <v>46997</v>
      </c>
      <c r="Y97" s="87">
        <f t="shared" si="45"/>
        <v>47027</v>
      </c>
      <c r="Z97" s="87">
        <f t="shared" si="45"/>
        <v>47058</v>
      </c>
      <c r="AA97" s="87">
        <f t="shared" si="45"/>
        <v>47088</v>
      </c>
      <c r="AB97" s="87">
        <f t="shared" si="45"/>
        <v>47119</v>
      </c>
      <c r="AC97" s="87">
        <f t="shared" si="45"/>
        <v>47150</v>
      </c>
      <c r="AD97" s="87">
        <f t="shared" si="45"/>
        <v>47178</v>
      </c>
      <c r="AE97" s="87">
        <f t="shared" si="45"/>
        <v>47209</v>
      </c>
      <c r="AF97" s="87">
        <f t="shared" si="45"/>
        <v>47239</v>
      </c>
      <c r="AG97" s="87">
        <f t="shared" si="45"/>
        <v>47270</v>
      </c>
      <c r="AH97" s="87">
        <f t="shared" si="45"/>
        <v>47300</v>
      </c>
      <c r="AI97" s="87">
        <f t="shared" si="45"/>
        <v>47331</v>
      </c>
      <c r="AJ97" s="87">
        <f t="shared" si="45"/>
        <v>47362</v>
      </c>
      <c r="AK97" s="87">
        <f t="shared" si="45"/>
        <v>47392</v>
      </c>
      <c r="AL97" s="87">
        <f t="shared" si="45"/>
        <v>47423</v>
      </c>
      <c r="AM97" s="87">
        <f t="shared" si="45"/>
        <v>47453</v>
      </c>
    </row>
    <row r="98" spans="1:39" s="9" customFormat="1" ht="13" x14ac:dyDescent="0.3">
      <c r="A98" s="101" t="s">
        <v>103</v>
      </c>
      <c r="C98" s="11"/>
      <c r="D98" s="11"/>
      <c r="E98" s="11"/>
      <c r="F98" s="11"/>
      <c r="G98" s="11"/>
      <c r="H98" s="11"/>
      <c r="I98" s="11"/>
      <c r="J98" s="11"/>
      <c r="K98" s="11"/>
      <c r="L98" s="11"/>
      <c r="M98" s="11"/>
    </row>
    <row r="99" spans="1:39" s="69" customFormat="1" ht="13" x14ac:dyDescent="0.3">
      <c r="A99" s="69" t="str">
        <f>A$60</f>
        <v>campsites sold per night - average</v>
      </c>
      <c r="B99" s="69" t="str">
        <f>B$60</f>
        <v>campsites</v>
      </c>
      <c r="C99" s="68">
        <f>SUM(D99:AM99)</f>
        <v>1550</v>
      </c>
      <c r="D99" s="68">
        <f t="shared" ref="D99:AM99" si="46">D$60</f>
        <v>0</v>
      </c>
      <c r="E99" s="68">
        <f t="shared" si="46"/>
        <v>0</v>
      </c>
      <c r="F99" s="68">
        <f t="shared" si="46"/>
        <v>0</v>
      </c>
      <c r="G99" s="68">
        <f t="shared" si="46"/>
        <v>0</v>
      </c>
      <c r="H99" s="68">
        <f t="shared" si="46"/>
        <v>0</v>
      </c>
      <c r="I99" s="68">
        <f t="shared" si="46"/>
        <v>0</v>
      </c>
      <c r="J99" s="68">
        <f t="shared" si="46"/>
        <v>10</v>
      </c>
      <c r="K99" s="68">
        <f t="shared" si="46"/>
        <v>40</v>
      </c>
      <c r="L99" s="68">
        <f t="shared" si="46"/>
        <v>100</v>
      </c>
      <c r="M99" s="68">
        <f t="shared" si="46"/>
        <v>80</v>
      </c>
      <c r="N99" s="68">
        <f t="shared" si="46"/>
        <v>40</v>
      </c>
      <c r="O99" s="68">
        <f t="shared" si="46"/>
        <v>0</v>
      </c>
      <c r="P99" s="68">
        <f t="shared" si="46"/>
        <v>0</v>
      </c>
      <c r="Q99" s="68">
        <f t="shared" si="46"/>
        <v>0</v>
      </c>
      <c r="R99" s="68">
        <f t="shared" si="46"/>
        <v>20</v>
      </c>
      <c r="S99" s="68">
        <f t="shared" si="46"/>
        <v>60</v>
      </c>
      <c r="T99" s="68">
        <f t="shared" si="46"/>
        <v>100</v>
      </c>
      <c r="U99" s="68">
        <f t="shared" si="46"/>
        <v>120</v>
      </c>
      <c r="V99" s="68">
        <f t="shared" si="46"/>
        <v>120</v>
      </c>
      <c r="W99" s="68">
        <f t="shared" si="46"/>
        <v>100</v>
      </c>
      <c r="X99" s="68">
        <f t="shared" si="46"/>
        <v>60</v>
      </c>
      <c r="Y99" s="68">
        <f t="shared" si="46"/>
        <v>40</v>
      </c>
      <c r="Z99" s="68">
        <f t="shared" si="46"/>
        <v>20</v>
      </c>
      <c r="AA99" s="68">
        <f t="shared" si="46"/>
        <v>0</v>
      </c>
      <c r="AB99" s="68">
        <f t="shared" si="46"/>
        <v>0</v>
      </c>
      <c r="AC99" s="68">
        <f t="shared" si="46"/>
        <v>0</v>
      </c>
      <c r="AD99" s="68">
        <f t="shared" si="46"/>
        <v>20</v>
      </c>
      <c r="AE99" s="68">
        <f t="shared" si="46"/>
        <v>60</v>
      </c>
      <c r="AF99" s="68">
        <f t="shared" si="46"/>
        <v>100</v>
      </c>
      <c r="AG99" s="68">
        <f t="shared" si="46"/>
        <v>120</v>
      </c>
      <c r="AH99" s="68">
        <f t="shared" si="46"/>
        <v>120</v>
      </c>
      <c r="AI99" s="68">
        <f t="shared" si="46"/>
        <v>100</v>
      </c>
      <c r="AJ99" s="68">
        <f t="shared" si="46"/>
        <v>60</v>
      </c>
      <c r="AK99" s="68">
        <f t="shared" si="46"/>
        <v>40</v>
      </c>
      <c r="AL99" s="68">
        <f t="shared" si="46"/>
        <v>20</v>
      </c>
      <c r="AM99" s="68">
        <f t="shared" si="46"/>
        <v>0</v>
      </c>
    </row>
    <row r="100" spans="1:39" s="9" customFormat="1" ht="13" x14ac:dyDescent="0.3">
      <c r="A100" s="99" t="s">
        <v>105</v>
      </c>
      <c r="C100" s="11"/>
      <c r="D100" s="11"/>
      <c r="E100" s="11"/>
      <c r="F100" s="11"/>
      <c r="G100" s="11"/>
      <c r="H100" s="11"/>
      <c r="I100" s="11"/>
      <c r="J100" s="11"/>
      <c r="K100" s="11"/>
      <c r="L100" s="11"/>
      <c r="M100" s="11"/>
    </row>
    <row r="101" spans="1:39" s="9" customFormat="1" ht="14.5" x14ac:dyDescent="0.35">
      <c r="A101" s="64" t="s">
        <v>106</v>
      </c>
      <c r="C101" s="11"/>
      <c r="D101" s="11"/>
      <c r="E101" s="11"/>
      <c r="F101" s="11"/>
      <c r="G101" s="11"/>
      <c r="H101" s="11"/>
      <c r="I101" s="11"/>
      <c r="J101" s="11"/>
      <c r="K101" s="11"/>
      <c r="L101" s="11"/>
      <c r="M101" s="11"/>
    </row>
    <row r="102" spans="1:39" s="9" customFormat="1" ht="13" x14ac:dyDescent="0.3">
      <c r="A102" s="99" t="s">
        <v>33</v>
      </c>
      <c r="B102" s="99" t="s">
        <v>77</v>
      </c>
      <c r="C102" s="65"/>
      <c r="D102" s="100"/>
      <c r="E102" s="100"/>
      <c r="F102" s="100"/>
      <c r="G102" s="100"/>
      <c r="H102" s="100"/>
      <c r="I102" s="100"/>
      <c r="J102" s="100">
        <v>15000</v>
      </c>
      <c r="K102" s="100">
        <f t="shared" ref="K102:Y102" si="47">J102</f>
        <v>15000</v>
      </c>
      <c r="L102" s="100">
        <f t="shared" si="47"/>
        <v>15000</v>
      </c>
      <c r="M102" s="100">
        <f t="shared" si="47"/>
        <v>15000</v>
      </c>
      <c r="N102" s="100">
        <f t="shared" si="47"/>
        <v>15000</v>
      </c>
      <c r="O102" s="100">
        <f t="shared" ref="O102" si="48">N102</f>
        <v>15000</v>
      </c>
      <c r="P102" s="100">
        <f t="shared" ref="P102" si="49">O102</f>
        <v>15000</v>
      </c>
      <c r="Q102" s="100">
        <f t="shared" ref="Q102" si="50">P102</f>
        <v>15000</v>
      </c>
      <c r="R102" s="100">
        <f t="shared" ref="R102" si="51">Q102</f>
        <v>15000</v>
      </c>
      <c r="S102" s="100">
        <f t="shared" ref="S102" si="52">R102</f>
        <v>15000</v>
      </c>
      <c r="T102" s="100">
        <f t="shared" ref="T102" si="53">S102</f>
        <v>15000</v>
      </c>
      <c r="U102" s="100">
        <f t="shared" ref="U102" si="54">T102</f>
        <v>15000</v>
      </c>
      <c r="V102" s="100">
        <f t="shared" ref="V102" si="55">U102</f>
        <v>15000</v>
      </c>
      <c r="W102" s="100">
        <f t="shared" ref="W102" si="56">V102</f>
        <v>15000</v>
      </c>
      <c r="X102" s="100">
        <f t="shared" si="47"/>
        <v>15000</v>
      </c>
      <c r="Y102" s="100">
        <f t="shared" si="47"/>
        <v>15000</v>
      </c>
      <c r="Z102" s="100">
        <f t="shared" ref="Z102:Z103" si="57">Y102</f>
        <v>15000</v>
      </c>
      <c r="AA102" s="100">
        <f t="shared" ref="AA102" si="58">Z102</f>
        <v>15000</v>
      </c>
      <c r="AB102" s="100">
        <f t="shared" ref="AB102" si="59">AA102</f>
        <v>15000</v>
      </c>
      <c r="AD102" s="100">
        <f>AC103</f>
        <v>15000</v>
      </c>
      <c r="AE102" s="100">
        <f t="shared" ref="AE102:AE103" si="60">AD102</f>
        <v>15000</v>
      </c>
      <c r="AF102" s="100">
        <f t="shared" ref="AF102:AF103" si="61">AE102</f>
        <v>15000</v>
      </c>
      <c r="AG102" s="100">
        <f t="shared" ref="AG102:AG103" si="62">AF102</f>
        <v>15000</v>
      </c>
      <c r="AH102" s="100">
        <f t="shared" ref="AH102:AH103" si="63">AG102</f>
        <v>15000</v>
      </c>
      <c r="AI102" s="100">
        <f t="shared" ref="AI102:AI103" si="64">AH102</f>
        <v>15000</v>
      </c>
      <c r="AJ102" s="100">
        <f t="shared" ref="AJ102:AJ103" si="65">AI102</f>
        <v>15000</v>
      </c>
      <c r="AK102" s="100">
        <f t="shared" ref="AK102:AK103" si="66">AJ102</f>
        <v>15000</v>
      </c>
      <c r="AL102" s="100">
        <f t="shared" ref="AL102:AL103" si="67">AK102</f>
        <v>15000</v>
      </c>
      <c r="AM102" s="100">
        <f t="shared" ref="AM102:AM103" si="68">AL102</f>
        <v>15000</v>
      </c>
    </row>
    <row r="103" spans="1:39" s="9" customFormat="1" ht="13" x14ac:dyDescent="0.3">
      <c r="A103" s="99" t="s">
        <v>34</v>
      </c>
      <c r="B103" s="99" t="s">
        <v>77</v>
      </c>
      <c r="C103" s="65"/>
      <c r="D103" s="100"/>
      <c r="E103" s="100"/>
      <c r="F103" s="100"/>
      <c r="G103" s="100"/>
      <c r="H103" s="100"/>
      <c r="I103" s="100"/>
      <c r="J103" s="100">
        <f>3*150000/12</f>
        <v>37500</v>
      </c>
      <c r="K103" s="100">
        <f t="shared" ref="K103:Y103" si="69">J103</f>
        <v>37500</v>
      </c>
      <c r="L103" s="100">
        <f t="shared" si="69"/>
        <v>37500</v>
      </c>
      <c r="M103" s="100">
        <f t="shared" si="69"/>
        <v>37500</v>
      </c>
      <c r="N103" s="100">
        <f t="shared" si="69"/>
        <v>37500</v>
      </c>
      <c r="O103" s="100"/>
      <c r="P103" s="100"/>
      <c r="Q103" s="100"/>
      <c r="R103" s="100">
        <f>3*150000/12</f>
        <v>37500</v>
      </c>
      <c r="S103" s="100">
        <f t="shared" si="69"/>
        <v>37500</v>
      </c>
      <c r="T103" s="100">
        <f t="shared" si="69"/>
        <v>37500</v>
      </c>
      <c r="U103" s="100">
        <f t="shared" si="69"/>
        <v>37500</v>
      </c>
      <c r="V103" s="100">
        <f t="shared" si="69"/>
        <v>37500</v>
      </c>
      <c r="W103" s="100">
        <f t="shared" si="69"/>
        <v>37500</v>
      </c>
      <c r="X103" s="100">
        <f t="shared" si="69"/>
        <v>37500</v>
      </c>
      <c r="Y103" s="100">
        <f t="shared" si="69"/>
        <v>37500</v>
      </c>
      <c r="Z103" s="100">
        <f t="shared" si="57"/>
        <v>37500</v>
      </c>
      <c r="AA103" s="100"/>
      <c r="AB103" s="100"/>
      <c r="AC103" s="100">
        <f>AB102</f>
        <v>15000</v>
      </c>
      <c r="AD103" s="100">
        <f>3*150000/12</f>
        <v>37500</v>
      </c>
      <c r="AE103" s="100">
        <f t="shared" si="60"/>
        <v>37500</v>
      </c>
      <c r="AF103" s="100">
        <f t="shared" si="61"/>
        <v>37500</v>
      </c>
      <c r="AG103" s="100">
        <f t="shared" si="62"/>
        <v>37500</v>
      </c>
      <c r="AH103" s="100">
        <f t="shared" si="63"/>
        <v>37500</v>
      </c>
      <c r="AI103" s="100">
        <f t="shared" si="64"/>
        <v>37500</v>
      </c>
      <c r="AJ103" s="100">
        <f t="shared" si="65"/>
        <v>37500</v>
      </c>
      <c r="AK103" s="100">
        <f t="shared" si="66"/>
        <v>37500</v>
      </c>
      <c r="AL103" s="100">
        <f t="shared" si="67"/>
        <v>37500</v>
      </c>
      <c r="AM103" s="100">
        <f t="shared" si="68"/>
        <v>37500</v>
      </c>
    </row>
    <row r="104" spans="1:39" s="69" customFormat="1" ht="13" x14ac:dyDescent="0.3">
      <c r="A104" s="69" t="s">
        <v>150</v>
      </c>
      <c r="B104" s="9" t="s">
        <v>77</v>
      </c>
      <c r="C104" s="68">
        <f>SUM(D104:AM104)</f>
        <v>1350000</v>
      </c>
      <c r="D104" s="68">
        <f t="shared" ref="D104:AB104" si="70">SUM(D102:D103)</f>
        <v>0</v>
      </c>
      <c r="E104" s="68">
        <f t="shared" si="70"/>
        <v>0</v>
      </c>
      <c r="F104" s="68">
        <f t="shared" si="70"/>
        <v>0</v>
      </c>
      <c r="G104" s="68">
        <f t="shared" si="70"/>
        <v>0</v>
      </c>
      <c r="H104" s="68">
        <f t="shared" si="70"/>
        <v>0</v>
      </c>
      <c r="I104" s="68">
        <f t="shared" si="70"/>
        <v>0</v>
      </c>
      <c r="J104" s="68">
        <f t="shared" si="70"/>
        <v>52500</v>
      </c>
      <c r="K104" s="68">
        <f t="shared" si="70"/>
        <v>52500</v>
      </c>
      <c r="L104" s="68">
        <f t="shared" si="70"/>
        <v>52500</v>
      </c>
      <c r="M104" s="68">
        <f t="shared" si="70"/>
        <v>52500</v>
      </c>
      <c r="N104" s="68">
        <f t="shared" si="70"/>
        <v>52500</v>
      </c>
      <c r="O104" s="68">
        <f t="shared" si="70"/>
        <v>15000</v>
      </c>
      <c r="P104" s="68">
        <f t="shared" si="70"/>
        <v>15000</v>
      </c>
      <c r="Q104" s="68">
        <f t="shared" si="70"/>
        <v>15000</v>
      </c>
      <c r="R104" s="68">
        <f t="shared" si="70"/>
        <v>52500</v>
      </c>
      <c r="S104" s="68">
        <f t="shared" si="70"/>
        <v>52500</v>
      </c>
      <c r="T104" s="68">
        <f t="shared" si="70"/>
        <v>52500</v>
      </c>
      <c r="U104" s="68">
        <f t="shared" si="70"/>
        <v>52500</v>
      </c>
      <c r="V104" s="68">
        <f t="shared" si="70"/>
        <v>52500</v>
      </c>
      <c r="W104" s="68">
        <f t="shared" si="70"/>
        <v>52500</v>
      </c>
      <c r="X104" s="68">
        <f t="shared" si="70"/>
        <v>52500</v>
      </c>
      <c r="Y104" s="68">
        <f t="shared" si="70"/>
        <v>52500</v>
      </c>
      <c r="Z104" s="68">
        <f t="shared" si="70"/>
        <v>52500</v>
      </c>
      <c r="AA104" s="68">
        <f t="shared" si="70"/>
        <v>15000</v>
      </c>
      <c r="AB104" s="68">
        <f t="shared" si="70"/>
        <v>15000</v>
      </c>
      <c r="AC104" s="68">
        <f>SUM(AC103:AC103)</f>
        <v>15000</v>
      </c>
      <c r="AD104" s="68">
        <f t="shared" ref="AD104:AM104" si="71">SUM(AD102:AD103)</f>
        <v>52500</v>
      </c>
      <c r="AE104" s="68">
        <f t="shared" si="71"/>
        <v>52500</v>
      </c>
      <c r="AF104" s="68">
        <f t="shared" si="71"/>
        <v>52500</v>
      </c>
      <c r="AG104" s="68">
        <f t="shared" si="71"/>
        <v>52500</v>
      </c>
      <c r="AH104" s="68">
        <f t="shared" si="71"/>
        <v>52500</v>
      </c>
      <c r="AI104" s="68">
        <f t="shared" si="71"/>
        <v>52500</v>
      </c>
      <c r="AJ104" s="68">
        <f t="shared" si="71"/>
        <v>52500</v>
      </c>
      <c r="AK104" s="68">
        <f t="shared" si="71"/>
        <v>52500</v>
      </c>
      <c r="AL104" s="68">
        <f t="shared" si="71"/>
        <v>52500</v>
      </c>
      <c r="AM104" s="68">
        <f t="shared" si="71"/>
        <v>52500</v>
      </c>
    </row>
    <row r="105" spans="1:39" s="69" customFormat="1" ht="13" x14ac:dyDescent="0.3">
      <c r="B105" s="9"/>
      <c r="C105" s="68"/>
      <c r="D105" s="74"/>
      <c r="E105" s="74"/>
      <c r="F105" s="74"/>
      <c r="G105" s="74"/>
      <c r="H105" s="74"/>
      <c r="I105" s="74"/>
      <c r="J105" s="74"/>
      <c r="K105" s="74"/>
      <c r="L105" s="74"/>
      <c r="M105" s="74"/>
    </row>
    <row r="106" spans="1:39" s="9" customFormat="1" ht="14.5" x14ac:dyDescent="0.35">
      <c r="A106" s="64" t="s">
        <v>107</v>
      </c>
      <c r="C106" s="11"/>
      <c r="D106" s="11"/>
      <c r="E106" s="11"/>
      <c r="F106" s="11"/>
      <c r="G106" s="11"/>
      <c r="H106" s="11"/>
      <c r="I106" s="11"/>
      <c r="J106" s="11"/>
      <c r="K106" s="11"/>
      <c r="L106" s="11"/>
      <c r="M106" s="11"/>
    </row>
    <row r="107" spans="1:39" s="9" customFormat="1" ht="13" x14ac:dyDescent="0.3">
      <c r="A107" s="99" t="s">
        <v>87</v>
      </c>
      <c r="B107" s="99" t="s">
        <v>77</v>
      </c>
      <c r="C107" s="65"/>
      <c r="D107" s="100"/>
      <c r="E107" s="100"/>
      <c r="F107" s="100"/>
      <c r="G107" s="100"/>
      <c r="H107" s="100"/>
      <c r="I107" s="100"/>
      <c r="J107" s="100">
        <f>100*30</f>
        <v>3000</v>
      </c>
      <c r="K107" s="100">
        <f>J107</f>
        <v>3000</v>
      </c>
      <c r="L107" s="100">
        <f t="shared" ref="L107:Y109" si="72">K107</f>
        <v>3000</v>
      </c>
      <c r="M107" s="100">
        <f t="shared" si="72"/>
        <v>3000</v>
      </c>
      <c r="N107" s="100">
        <f t="shared" si="72"/>
        <v>3000</v>
      </c>
      <c r="O107" s="100"/>
      <c r="P107" s="100"/>
      <c r="Q107" s="100"/>
      <c r="R107" s="100">
        <f>N107</f>
        <v>3000</v>
      </c>
      <c r="S107" s="100">
        <f t="shared" si="72"/>
        <v>3000</v>
      </c>
      <c r="T107" s="100">
        <f t="shared" si="72"/>
        <v>3000</v>
      </c>
      <c r="U107" s="100">
        <f t="shared" si="72"/>
        <v>3000</v>
      </c>
      <c r="V107" s="100">
        <f t="shared" si="72"/>
        <v>3000</v>
      </c>
      <c r="W107" s="100">
        <f t="shared" si="72"/>
        <v>3000</v>
      </c>
      <c r="X107" s="100">
        <f t="shared" si="72"/>
        <v>3000</v>
      </c>
      <c r="Y107" s="100">
        <f t="shared" si="72"/>
        <v>3000</v>
      </c>
      <c r="Z107" s="100">
        <f t="shared" ref="Z107:Z109" si="73">Y107</f>
        <v>3000</v>
      </c>
      <c r="AA107" s="100"/>
      <c r="AB107" s="100"/>
      <c r="AC107" s="100"/>
      <c r="AD107" s="100">
        <f>Z107</f>
        <v>3000</v>
      </c>
      <c r="AE107" s="100">
        <f t="shared" ref="AE107:AE109" si="74">AD107</f>
        <v>3000</v>
      </c>
      <c r="AF107" s="100">
        <f t="shared" ref="AF107:AF109" si="75">AE107</f>
        <v>3000</v>
      </c>
      <c r="AG107" s="100">
        <f t="shared" ref="AG107:AG109" si="76">AF107</f>
        <v>3000</v>
      </c>
      <c r="AH107" s="100">
        <f t="shared" ref="AH107:AH109" si="77">AG107</f>
        <v>3000</v>
      </c>
      <c r="AI107" s="100">
        <f t="shared" ref="AI107:AI109" si="78">AH107</f>
        <v>3000</v>
      </c>
      <c r="AJ107" s="100">
        <f t="shared" ref="AJ107:AJ109" si="79">AI107</f>
        <v>3000</v>
      </c>
      <c r="AK107" s="100">
        <f t="shared" ref="AK107:AK109" si="80">AJ107</f>
        <v>3000</v>
      </c>
      <c r="AL107" s="100">
        <f t="shared" ref="AL107:AL109" si="81">AK107</f>
        <v>3000</v>
      </c>
      <c r="AM107" s="100">
        <f t="shared" ref="AM107:AM109" si="82">AL107</f>
        <v>3000</v>
      </c>
    </row>
    <row r="108" spans="1:39" s="9" customFormat="1" ht="13" x14ac:dyDescent="0.3">
      <c r="A108" s="99" t="s">
        <v>109</v>
      </c>
      <c r="B108" s="99" t="s">
        <v>77</v>
      </c>
      <c r="C108" s="65"/>
      <c r="D108" s="100"/>
      <c r="E108" s="100"/>
      <c r="F108" s="100"/>
      <c r="G108" s="100"/>
      <c r="H108" s="100"/>
      <c r="I108" s="100"/>
      <c r="J108" s="100">
        <f>100*30</f>
        <v>3000</v>
      </c>
      <c r="K108" s="100">
        <f>J108</f>
        <v>3000</v>
      </c>
      <c r="L108" s="100">
        <f t="shared" ref="L108" si="83">K108</f>
        <v>3000</v>
      </c>
      <c r="M108" s="100">
        <f t="shared" ref="M108" si="84">L108</f>
        <v>3000</v>
      </c>
      <c r="N108" s="100">
        <f t="shared" ref="N108" si="85">M108</f>
        <v>3000</v>
      </c>
      <c r="O108" s="100"/>
      <c r="P108" s="100"/>
      <c r="Q108" s="100"/>
      <c r="R108" s="100">
        <f>N108</f>
        <v>3000</v>
      </c>
      <c r="S108" s="100">
        <f t="shared" ref="S108" si="86">R108</f>
        <v>3000</v>
      </c>
      <c r="T108" s="100">
        <f t="shared" ref="T108" si="87">S108</f>
        <v>3000</v>
      </c>
      <c r="U108" s="100">
        <f t="shared" ref="U108" si="88">T108</f>
        <v>3000</v>
      </c>
      <c r="V108" s="100">
        <f t="shared" ref="V108" si="89">U108</f>
        <v>3000</v>
      </c>
      <c r="W108" s="100">
        <f t="shared" ref="W108" si="90">V108</f>
        <v>3000</v>
      </c>
      <c r="X108" s="100">
        <f t="shared" ref="X108" si="91">W108</f>
        <v>3000</v>
      </c>
      <c r="Y108" s="100">
        <f t="shared" ref="Y108" si="92">X108</f>
        <v>3000</v>
      </c>
      <c r="Z108" s="100">
        <f t="shared" ref="Z108" si="93">Y108</f>
        <v>3000</v>
      </c>
      <c r="AA108" s="100"/>
      <c r="AB108" s="100"/>
      <c r="AC108" s="100"/>
      <c r="AD108" s="100">
        <f>Z108</f>
        <v>3000</v>
      </c>
      <c r="AE108" s="100">
        <f t="shared" ref="AE108" si="94">AD108</f>
        <v>3000</v>
      </c>
      <c r="AF108" s="100">
        <f t="shared" ref="AF108" si="95">AE108</f>
        <v>3000</v>
      </c>
      <c r="AG108" s="100">
        <f t="shared" ref="AG108" si="96">AF108</f>
        <v>3000</v>
      </c>
      <c r="AH108" s="100">
        <f t="shared" ref="AH108" si="97">AG108</f>
        <v>3000</v>
      </c>
      <c r="AI108" s="100">
        <f t="shared" ref="AI108" si="98">AH108</f>
        <v>3000</v>
      </c>
      <c r="AJ108" s="100">
        <f t="shared" ref="AJ108" si="99">AI108</f>
        <v>3000</v>
      </c>
      <c r="AK108" s="100">
        <f t="shared" ref="AK108" si="100">AJ108</f>
        <v>3000</v>
      </c>
      <c r="AL108" s="100">
        <f t="shared" ref="AL108" si="101">AK108</f>
        <v>3000</v>
      </c>
      <c r="AM108" s="100">
        <f t="shared" ref="AM108" si="102">AL108</f>
        <v>3000</v>
      </c>
    </row>
    <row r="109" spans="1:39" s="9" customFormat="1" ht="13" x14ac:dyDescent="0.3">
      <c r="A109" s="99" t="s">
        <v>35</v>
      </c>
      <c r="B109" s="99" t="s">
        <v>77</v>
      </c>
      <c r="C109" s="65"/>
      <c r="D109" s="100"/>
      <c r="E109" s="100"/>
      <c r="F109" s="100"/>
      <c r="G109" s="100"/>
      <c r="H109" s="100"/>
      <c r="I109" s="100"/>
      <c r="J109" s="100">
        <f>50*30</f>
        <v>1500</v>
      </c>
      <c r="K109" s="100">
        <f>J109</f>
        <v>1500</v>
      </c>
      <c r="L109" s="100">
        <f t="shared" si="72"/>
        <v>1500</v>
      </c>
      <c r="M109" s="100">
        <f t="shared" si="72"/>
        <v>1500</v>
      </c>
      <c r="N109" s="100">
        <f t="shared" si="72"/>
        <v>1500</v>
      </c>
      <c r="O109" s="100"/>
      <c r="P109" s="100"/>
      <c r="Q109" s="100"/>
      <c r="R109" s="100">
        <f>N109</f>
        <v>1500</v>
      </c>
      <c r="S109" s="100">
        <f t="shared" si="72"/>
        <v>1500</v>
      </c>
      <c r="T109" s="100">
        <f t="shared" si="72"/>
        <v>1500</v>
      </c>
      <c r="U109" s="100">
        <f t="shared" si="72"/>
        <v>1500</v>
      </c>
      <c r="V109" s="100">
        <f t="shared" si="72"/>
        <v>1500</v>
      </c>
      <c r="W109" s="100">
        <f t="shared" si="72"/>
        <v>1500</v>
      </c>
      <c r="X109" s="100">
        <f t="shared" si="72"/>
        <v>1500</v>
      </c>
      <c r="Y109" s="100">
        <f t="shared" si="72"/>
        <v>1500</v>
      </c>
      <c r="Z109" s="100">
        <f t="shared" si="73"/>
        <v>1500</v>
      </c>
      <c r="AA109" s="100"/>
      <c r="AB109" s="100"/>
      <c r="AC109" s="100"/>
      <c r="AD109" s="100">
        <f>Z109</f>
        <v>1500</v>
      </c>
      <c r="AE109" s="100">
        <f t="shared" si="74"/>
        <v>1500</v>
      </c>
      <c r="AF109" s="100">
        <f t="shared" si="75"/>
        <v>1500</v>
      </c>
      <c r="AG109" s="100">
        <f t="shared" si="76"/>
        <v>1500</v>
      </c>
      <c r="AH109" s="100">
        <f t="shared" si="77"/>
        <v>1500</v>
      </c>
      <c r="AI109" s="100">
        <f t="shared" si="78"/>
        <v>1500</v>
      </c>
      <c r="AJ109" s="100">
        <f t="shared" si="79"/>
        <v>1500</v>
      </c>
      <c r="AK109" s="100">
        <f t="shared" si="80"/>
        <v>1500</v>
      </c>
      <c r="AL109" s="100">
        <f t="shared" si="81"/>
        <v>1500</v>
      </c>
      <c r="AM109" s="100">
        <f t="shared" si="82"/>
        <v>1500</v>
      </c>
    </row>
    <row r="110" spans="1:39" s="69" customFormat="1" ht="13" x14ac:dyDescent="0.3">
      <c r="A110" s="69" t="str">
        <f>A106</f>
        <v>variable costs - diesel, consumables, communications&amp; freight</v>
      </c>
      <c r="B110" s="9" t="s">
        <v>77</v>
      </c>
      <c r="C110" s="68">
        <f>SUM(D110:AM110)</f>
        <v>180000</v>
      </c>
      <c r="D110" s="68">
        <f t="shared" ref="D110:AM110" si="103">SUM(D106:D109)</f>
        <v>0</v>
      </c>
      <c r="E110" s="68">
        <f t="shared" si="103"/>
        <v>0</v>
      </c>
      <c r="F110" s="68">
        <f t="shared" si="103"/>
        <v>0</v>
      </c>
      <c r="G110" s="68">
        <f t="shared" si="103"/>
        <v>0</v>
      </c>
      <c r="H110" s="68">
        <f t="shared" si="103"/>
        <v>0</v>
      </c>
      <c r="I110" s="68">
        <f t="shared" si="103"/>
        <v>0</v>
      </c>
      <c r="J110" s="68">
        <f t="shared" si="103"/>
        <v>7500</v>
      </c>
      <c r="K110" s="68">
        <f t="shared" si="103"/>
        <v>7500</v>
      </c>
      <c r="L110" s="68">
        <f t="shared" si="103"/>
        <v>7500</v>
      </c>
      <c r="M110" s="68">
        <f t="shared" si="103"/>
        <v>7500</v>
      </c>
      <c r="N110" s="68">
        <f t="shared" si="103"/>
        <v>7500</v>
      </c>
      <c r="O110" s="68">
        <f t="shared" si="103"/>
        <v>0</v>
      </c>
      <c r="P110" s="68">
        <f t="shared" si="103"/>
        <v>0</v>
      </c>
      <c r="Q110" s="68">
        <f t="shared" si="103"/>
        <v>0</v>
      </c>
      <c r="R110" s="68">
        <f t="shared" si="103"/>
        <v>7500</v>
      </c>
      <c r="S110" s="68">
        <f t="shared" si="103"/>
        <v>7500</v>
      </c>
      <c r="T110" s="68">
        <f t="shared" si="103"/>
        <v>7500</v>
      </c>
      <c r="U110" s="68">
        <f t="shared" si="103"/>
        <v>7500</v>
      </c>
      <c r="V110" s="68">
        <f t="shared" si="103"/>
        <v>7500</v>
      </c>
      <c r="W110" s="68">
        <f t="shared" si="103"/>
        <v>7500</v>
      </c>
      <c r="X110" s="68">
        <f t="shared" si="103"/>
        <v>7500</v>
      </c>
      <c r="Y110" s="68">
        <f t="shared" si="103"/>
        <v>7500</v>
      </c>
      <c r="Z110" s="68">
        <f t="shared" si="103"/>
        <v>7500</v>
      </c>
      <c r="AA110" s="68">
        <f t="shared" si="103"/>
        <v>0</v>
      </c>
      <c r="AB110" s="68">
        <f t="shared" si="103"/>
        <v>0</v>
      </c>
      <c r="AC110" s="68">
        <f t="shared" si="103"/>
        <v>0</v>
      </c>
      <c r="AD110" s="68">
        <f t="shared" si="103"/>
        <v>7500</v>
      </c>
      <c r="AE110" s="68">
        <f t="shared" si="103"/>
        <v>7500</v>
      </c>
      <c r="AF110" s="68">
        <f t="shared" si="103"/>
        <v>7500</v>
      </c>
      <c r="AG110" s="68">
        <f t="shared" si="103"/>
        <v>7500</v>
      </c>
      <c r="AH110" s="68">
        <f t="shared" si="103"/>
        <v>7500</v>
      </c>
      <c r="AI110" s="68">
        <f t="shared" si="103"/>
        <v>7500</v>
      </c>
      <c r="AJ110" s="68">
        <f t="shared" si="103"/>
        <v>7500</v>
      </c>
      <c r="AK110" s="68">
        <f t="shared" si="103"/>
        <v>7500</v>
      </c>
      <c r="AL110" s="68">
        <f t="shared" si="103"/>
        <v>7500</v>
      </c>
      <c r="AM110" s="68">
        <f t="shared" si="103"/>
        <v>7500</v>
      </c>
    </row>
    <row r="111" spans="1:39" s="69" customFormat="1" ht="13" x14ac:dyDescent="0.3">
      <c r="B111" s="9"/>
      <c r="C111" s="68"/>
      <c r="D111" s="74"/>
      <c r="E111" s="74"/>
      <c r="F111" s="74"/>
      <c r="G111" s="74"/>
      <c r="H111" s="74"/>
      <c r="I111" s="74"/>
      <c r="J111" s="74"/>
      <c r="K111" s="74"/>
      <c r="L111" s="74"/>
      <c r="M111" s="74"/>
    </row>
    <row r="112" spans="1:39" s="9" customFormat="1" ht="14.5" x14ac:dyDescent="0.35">
      <c r="A112" s="64" t="s">
        <v>108</v>
      </c>
      <c r="C112" s="11"/>
      <c r="D112" s="11"/>
      <c r="E112" s="11"/>
      <c r="F112" s="11"/>
      <c r="G112" s="11"/>
      <c r="H112" s="11"/>
      <c r="I112" s="11"/>
      <c r="J112" s="11"/>
      <c r="K112" s="11"/>
      <c r="L112" s="11"/>
      <c r="M112" s="11"/>
    </row>
    <row r="113" spans="1:39" s="9" customFormat="1" ht="13" x14ac:dyDescent="0.3">
      <c r="A113" s="99" t="s">
        <v>36</v>
      </c>
      <c r="B113" s="99" t="s">
        <v>77</v>
      </c>
      <c r="C113" s="65"/>
      <c r="D113" s="100"/>
      <c r="E113" s="100"/>
      <c r="F113" s="100"/>
      <c r="G113" s="100"/>
      <c r="H113" s="100"/>
      <c r="I113" s="100"/>
      <c r="J113" s="100">
        <v>2000</v>
      </c>
      <c r="K113" s="100">
        <f t="shared" ref="K113:Y113" si="104">J113</f>
        <v>2000</v>
      </c>
      <c r="L113" s="100">
        <f t="shared" si="104"/>
        <v>2000</v>
      </c>
      <c r="M113" s="100">
        <f t="shared" si="104"/>
        <v>2000</v>
      </c>
      <c r="N113" s="100">
        <f t="shared" si="104"/>
        <v>2000</v>
      </c>
      <c r="O113" s="100">
        <f t="shared" si="104"/>
        <v>2000</v>
      </c>
      <c r="P113" s="100">
        <f t="shared" si="104"/>
        <v>2000</v>
      </c>
      <c r="Q113" s="100">
        <f t="shared" si="104"/>
        <v>2000</v>
      </c>
      <c r="R113" s="100">
        <f t="shared" si="104"/>
        <v>2000</v>
      </c>
      <c r="S113" s="100">
        <f t="shared" si="104"/>
        <v>2000</v>
      </c>
      <c r="T113" s="100">
        <f t="shared" si="104"/>
        <v>2000</v>
      </c>
      <c r="U113" s="100">
        <f t="shared" si="104"/>
        <v>2000</v>
      </c>
      <c r="V113" s="100">
        <f t="shared" si="104"/>
        <v>2000</v>
      </c>
      <c r="W113" s="100">
        <f t="shared" si="104"/>
        <v>2000</v>
      </c>
      <c r="X113" s="100">
        <f t="shared" si="104"/>
        <v>2000</v>
      </c>
      <c r="Y113" s="100">
        <f t="shared" si="104"/>
        <v>2000</v>
      </c>
      <c r="Z113" s="100">
        <f t="shared" ref="Z113:Z114" si="105">Y113</f>
        <v>2000</v>
      </c>
      <c r="AA113" s="100">
        <f t="shared" ref="AA113:AA114" si="106">Z113</f>
        <v>2000</v>
      </c>
      <c r="AB113" s="100">
        <f t="shared" ref="AB113:AB114" si="107">AA113</f>
        <v>2000</v>
      </c>
      <c r="AC113" s="100">
        <f t="shared" ref="AC113:AC114" si="108">AB113</f>
        <v>2000</v>
      </c>
      <c r="AD113" s="100">
        <f t="shared" ref="AD113:AD114" si="109">AC113</f>
        <v>2000</v>
      </c>
      <c r="AE113" s="100">
        <f t="shared" ref="AE113:AE114" si="110">AD113</f>
        <v>2000</v>
      </c>
      <c r="AF113" s="100">
        <f t="shared" ref="AF113:AF114" si="111">AE113</f>
        <v>2000</v>
      </c>
      <c r="AG113" s="100">
        <f t="shared" ref="AG113:AG114" si="112">AF113</f>
        <v>2000</v>
      </c>
      <c r="AH113" s="100">
        <f t="shared" ref="AH113:AH114" si="113">AG113</f>
        <v>2000</v>
      </c>
      <c r="AI113" s="100">
        <f t="shared" ref="AI113:AI114" si="114">AH113</f>
        <v>2000</v>
      </c>
      <c r="AJ113" s="100">
        <f t="shared" ref="AJ113:AJ114" si="115">AI113</f>
        <v>2000</v>
      </c>
      <c r="AK113" s="100">
        <f t="shared" ref="AK113:AK114" si="116">AJ113</f>
        <v>2000</v>
      </c>
      <c r="AL113" s="100">
        <f t="shared" ref="AL113:AL114" si="117">AK113</f>
        <v>2000</v>
      </c>
      <c r="AM113" s="100">
        <f t="shared" ref="AM113:AM114" si="118">AL113</f>
        <v>2000</v>
      </c>
    </row>
    <row r="114" spans="1:39" s="9" customFormat="1" ht="13" x14ac:dyDescent="0.3">
      <c r="A114" s="99" t="s">
        <v>88</v>
      </c>
      <c r="B114" s="99" t="s">
        <v>77</v>
      </c>
      <c r="C114" s="65"/>
      <c r="D114" s="100"/>
      <c r="E114" s="100"/>
      <c r="F114" s="100"/>
      <c r="G114" s="100"/>
      <c r="H114" s="100"/>
      <c r="I114" s="100"/>
      <c r="J114" s="100">
        <v>1000</v>
      </c>
      <c r="K114" s="100">
        <f t="shared" ref="K114:Y114" si="119">J114</f>
        <v>1000</v>
      </c>
      <c r="L114" s="100">
        <f t="shared" si="119"/>
        <v>1000</v>
      </c>
      <c r="M114" s="100">
        <f t="shared" si="119"/>
        <v>1000</v>
      </c>
      <c r="N114" s="100">
        <f t="shared" si="119"/>
        <v>1000</v>
      </c>
      <c r="O114" s="100">
        <f t="shared" si="119"/>
        <v>1000</v>
      </c>
      <c r="P114" s="100">
        <f t="shared" si="119"/>
        <v>1000</v>
      </c>
      <c r="Q114" s="100">
        <f t="shared" si="119"/>
        <v>1000</v>
      </c>
      <c r="R114" s="100">
        <f t="shared" si="119"/>
        <v>1000</v>
      </c>
      <c r="S114" s="100">
        <f t="shared" si="119"/>
        <v>1000</v>
      </c>
      <c r="T114" s="100">
        <f t="shared" si="119"/>
        <v>1000</v>
      </c>
      <c r="U114" s="100">
        <f t="shared" si="119"/>
        <v>1000</v>
      </c>
      <c r="V114" s="100">
        <f t="shared" si="119"/>
        <v>1000</v>
      </c>
      <c r="W114" s="100">
        <f t="shared" si="119"/>
        <v>1000</v>
      </c>
      <c r="X114" s="100">
        <f t="shared" si="119"/>
        <v>1000</v>
      </c>
      <c r="Y114" s="100">
        <f t="shared" si="119"/>
        <v>1000</v>
      </c>
      <c r="Z114" s="100">
        <f t="shared" si="105"/>
        <v>1000</v>
      </c>
      <c r="AA114" s="100">
        <f t="shared" si="106"/>
        <v>1000</v>
      </c>
      <c r="AB114" s="100">
        <f t="shared" si="107"/>
        <v>1000</v>
      </c>
      <c r="AC114" s="100">
        <f t="shared" si="108"/>
        <v>1000</v>
      </c>
      <c r="AD114" s="100">
        <f t="shared" si="109"/>
        <v>1000</v>
      </c>
      <c r="AE114" s="100">
        <f t="shared" si="110"/>
        <v>1000</v>
      </c>
      <c r="AF114" s="100">
        <f t="shared" si="111"/>
        <v>1000</v>
      </c>
      <c r="AG114" s="100">
        <f t="shared" si="112"/>
        <v>1000</v>
      </c>
      <c r="AH114" s="100">
        <f t="shared" si="113"/>
        <v>1000</v>
      </c>
      <c r="AI114" s="100">
        <f t="shared" si="114"/>
        <v>1000</v>
      </c>
      <c r="AJ114" s="100">
        <f t="shared" si="115"/>
        <v>1000</v>
      </c>
      <c r="AK114" s="100">
        <f t="shared" si="116"/>
        <v>1000</v>
      </c>
      <c r="AL114" s="100">
        <f t="shared" si="117"/>
        <v>1000</v>
      </c>
      <c r="AM114" s="100">
        <f t="shared" si="118"/>
        <v>1000</v>
      </c>
    </row>
    <row r="115" spans="1:39" s="69" customFormat="1" ht="13" x14ac:dyDescent="0.3">
      <c r="A115" s="69" t="str">
        <f>A112</f>
        <v>fixed costs - commercial</v>
      </c>
      <c r="B115" s="9" t="s">
        <v>77</v>
      </c>
      <c r="C115" s="68">
        <f>SUM(D115:AM115)</f>
        <v>90000</v>
      </c>
      <c r="D115" s="68">
        <f t="shared" ref="D115:AM115" si="120">SUM(D112:D114)</f>
        <v>0</v>
      </c>
      <c r="E115" s="68">
        <f t="shared" si="120"/>
        <v>0</v>
      </c>
      <c r="F115" s="68">
        <f t="shared" si="120"/>
        <v>0</v>
      </c>
      <c r="G115" s="68">
        <f t="shared" si="120"/>
        <v>0</v>
      </c>
      <c r="H115" s="68">
        <f t="shared" si="120"/>
        <v>0</v>
      </c>
      <c r="I115" s="68">
        <f t="shared" si="120"/>
        <v>0</v>
      </c>
      <c r="J115" s="68">
        <f t="shared" si="120"/>
        <v>3000</v>
      </c>
      <c r="K115" s="68">
        <f t="shared" si="120"/>
        <v>3000</v>
      </c>
      <c r="L115" s="68">
        <f t="shared" si="120"/>
        <v>3000</v>
      </c>
      <c r="M115" s="68">
        <f t="shared" si="120"/>
        <v>3000</v>
      </c>
      <c r="N115" s="68">
        <f t="shared" si="120"/>
        <v>3000</v>
      </c>
      <c r="O115" s="68">
        <f t="shared" si="120"/>
        <v>3000</v>
      </c>
      <c r="P115" s="68">
        <f t="shared" si="120"/>
        <v>3000</v>
      </c>
      <c r="Q115" s="68">
        <f t="shared" si="120"/>
        <v>3000</v>
      </c>
      <c r="R115" s="68">
        <f t="shared" si="120"/>
        <v>3000</v>
      </c>
      <c r="S115" s="68">
        <f t="shared" si="120"/>
        <v>3000</v>
      </c>
      <c r="T115" s="68">
        <f t="shared" si="120"/>
        <v>3000</v>
      </c>
      <c r="U115" s="68">
        <f t="shared" si="120"/>
        <v>3000</v>
      </c>
      <c r="V115" s="68">
        <f t="shared" si="120"/>
        <v>3000</v>
      </c>
      <c r="W115" s="68">
        <f t="shared" si="120"/>
        <v>3000</v>
      </c>
      <c r="X115" s="68">
        <f t="shared" si="120"/>
        <v>3000</v>
      </c>
      <c r="Y115" s="68">
        <f t="shared" si="120"/>
        <v>3000</v>
      </c>
      <c r="Z115" s="68">
        <f t="shared" si="120"/>
        <v>3000</v>
      </c>
      <c r="AA115" s="68">
        <f t="shared" si="120"/>
        <v>3000</v>
      </c>
      <c r="AB115" s="68">
        <f t="shared" si="120"/>
        <v>3000</v>
      </c>
      <c r="AC115" s="68">
        <f t="shared" si="120"/>
        <v>3000</v>
      </c>
      <c r="AD115" s="68">
        <f t="shared" si="120"/>
        <v>3000</v>
      </c>
      <c r="AE115" s="68">
        <f t="shared" si="120"/>
        <v>3000</v>
      </c>
      <c r="AF115" s="68">
        <f t="shared" si="120"/>
        <v>3000</v>
      </c>
      <c r="AG115" s="68">
        <f t="shared" si="120"/>
        <v>3000</v>
      </c>
      <c r="AH115" s="68">
        <f t="shared" si="120"/>
        <v>3000</v>
      </c>
      <c r="AI115" s="68">
        <f t="shared" si="120"/>
        <v>3000</v>
      </c>
      <c r="AJ115" s="68">
        <f t="shared" si="120"/>
        <v>3000</v>
      </c>
      <c r="AK115" s="68">
        <f t="shared" si="120"/>
        <v>3000</v>
      </c>
      <c r="AL115" s="68">
        <f t="shared" si="120"/>
        <v>3000</v>
      </c>
      <c r="AM115" s="68">
        <f t="shared" si="120"/>
        <v>3000</v>
      </c>
    </row>
    <row r="116" spans="1:39" s="69" customFormat="1" ht="13" x14ac:dyDescent="0.3">
      <c r="B116" s="9"/>
      <c r="C116" s="68"/>
      <c r="D116" s="74"/>
      <c r="E116" s="74"/>
      <c r="F116" s="74"/>
      <c r="G116" s="74"/>
      <c r="H116" s="74"/>
      <c r="I116" s="74"/>
      <c r="J116" s="74"/>
      <c r="K116" s="74"/>
      <c r="L116" s="74"/>
      <c r="M116" s="74"/>
    </row>
    <row r="117" spans="1:39" s="9" customFormat="1" x14ac:dyDescent="0.35">
      <c r="A117" s="8" t="s">
        <v>10</v>
      </c>
      <c r="B117" s="9" t="s">
        <v>76</v>
      </c>
      <c r="C117" s="128">
        <f>SUM(D117:AM117)</f>
        <v>1620000</v>
      </c>
      <c r="D117" s="112">
        <f t="shared" ref="D117:AM117" si="121">D104+D110+D115</f>
        <v>0</v>
      </c>
      <c r="E117" s="112">
        <f t="shared" si="121"/>
        <v>0</v>
      </c>
      <c r="F117" s="112">
        <f t="shared" si="121"/>
        <v>0</v>
      </c>
      <c r="G117" s="112">
        <f t="shared" si="121"/>
        <v>0</v>
      </c>
      <c r="H117" s="112">
        <f t="shared" si="121"/>
        <v>0</v>
      </c>
      <c r="I117" s="112">
        <f t="shared" si="121"/>
        <v>0</v>
      </c>
      <c r="J117" s="112">
        <f t="shared" si="121"/>
        <v>63000</v>
      </c>
      <c r="K117" s="112">
        <f t="shared" si="121"/>
        <v>63000</v>
      </c>
      <c r="L117" s="112">
        <f t="shared" si="121"/>
        <v>63000</v>
      </c>
      <c r="M117" s="112">
        <f t="shared" si="121"/>
        <v>63000</v>
      </c>
      <c r="N117" s="112">
        <f t="shared" si="121"/>
        <v>63000</v>
      </c>
      <c r="O117" s="112">
        <f t="shared" si="121"/>
        <v>18000</v>
      </c>
      <c r="P117" s="112">
        <f t="shared" si="121"/>
        <v>18000</v>
      </c>
      <c r="Q117" s="112">
        <f t="shared" si="121"/>
        <v>18000</v>
      </c>
      <c r="R117" s="112">
        <f t="shared" si="121"/>
        <v>63000</v>
      </c>
      <c r="S117" s="112">
        <f t="shared" si="121"/>
        <v>63000</v>
      </c>
      <c r="T117" s="112">
        <f t="shared" si="121"/>
        <v>63000</v>
      </c>
      <c r="U117" s="112">
        <f t="shared" si="121"/>
        <v>63000</v>
      </c>
      <c r="V117" s="112">
        <f t="shared" si="121"/>
        <v>63000</v>
      </c>
      <c r="W117" s="112">
        <f t="shared" si="121"/>
        <v>63000</v>
      </c>
      <c r="X117" s="112">
        <f t="shared" si="121"/>
        <v>63000</v>
      </c>
      <c r="Y117" s="112">
        <f t="shared" si="121"/>
        <v>63000</v>
      </c>
      <c r="Z117" s="112">
        <f t="shared" si="121"/>
        <v>63000</v>
      </c>
      <c r="AA117" s="112">
        <f t="shared" si="121"/>
        <v>18000</v>
      </c>
      <c r="AB117" s="112">
        <f t="shared" si="121"/>
        <v>18000</v>
      </c>
      <c r="AC117" s="112">
        <f t="shared" si="121"/>
        <v>18000</v>
      </c>
      <c r="AD117" s="112">
        <f t="shared" si="121"/>
        <v>63000</v>
      </c>
      <c r="AE117" s="112">
        <f t="shared" si="121"/>
        <v>63000</v>
      </c>
      <c r="AF117" s="112">
        <f t="shared" si="121"/>
        <v>63000</v>
      </c>
      <c r="AG117" s="112">
        <f t="shared" si="121"/>
        <v>63000</v>
      </c>
      <c r="AH117" s="112">
        <f t="shared" si="121"/>
        <v>63000</v>
      </c>
      <c r="AI117" s="112">
        <f t="shared" si="121"/>
        <v>63000</v>
      </c>
      <c r="AJ117" s="112">
        <f t="shared" si="121"/>
        <v>63000</v>
      </c>
      <c r="AK117" s="112">
        <f t="shared" si="121"/>
        <v>63000</v>
      </c>
      <c r="AL117" s="112">
        <f t="shared" si="121"/>
        <v>63000</v>
      </c>
      <c r="AM117" s="112">
        <f t="shared" si="121"/>
        <v>63000</v>
      </c>
    </row>
    <row r="118" spans="1:39" s="9" customFormat="1" ht="13" x14ac:dyDescent="0.3">
      <c r="A118" s="75" t="s">
        <v>110</v>
      </c>
      <c r="C118" s="78">
        <f>SUM(D118:AM118)</f>
        <v>2162000</v>
      </c>
      <c r="D118" s="78">
        <f t="shared" ref="D118:AM118" si="122">D63-D117</f>
        <v>0</v>
      </c>
      <c r="E118" s="78">
        <f t="shared" si="122"/>
        <v>0</v>
      </c>
      <c r="F118" s="78">
        <f t="shared" si="122"/>
        <v>0</v>
      </c>
      <c r="G118" s="78">
        <f t="shared" si="122"/>
        <v>0</v>
      </c>
      <c r="H118" s="78">
        <f t="shared" si="122"/>
        <v>0</v>
      </c>
      <c r="I118" s="78">
        <f t="shared" si="122"/>
        <v>0</v>
      </c>
      <c r="J118" s="78">
        <f t="shared" si="122"/>
        <v>-38600</v>
      </c>
      <c r="K118" s="78">
        <f t="shared" si="122"/>
        <v>34600</v>
      </c>
      <c r="L118" s="78">
        <f t="shared" si="122"/>
        <v>181000</v>
      </c>
      <c r="M118" s="78">
        <f t="shared" si="122"/>
        <v>132200</v>
      </c>
      <c r="N118" s="78">
        <f t="shared" si="122"/>
        <v>34600</v>
      </c>
      <c r="O118" s="78">
        <f t="shared" si="122"/>
        <v>-18000</v>
      </c>
      <c r="P118" s="78">
        <f t="shared" si="122"/>
        <v>-18000</v>
      </c>
      <c r="Q118" s="78">
        <f t="shared" si="122"/>
        <v>-18000</v>
      </c>
      <c r="R118" s="78">
        <f t="shared" si="122"/>
        <v>-14200</v>
      </c>
      <c r="S118" s="78">
        <f t="shared" si="122"/>
        <v>83400</v>
      </c>
      <c r="T118" s="78">
        <f t="shared" si="122"/>
        <v>181000</v>
      </c>
      <c r="U118" s="78">
        <f t="shared" si="122"/>
        <v>229800</v>
      </c>
      <c r="V118" s="78">
        <f t="shared" si="122"/>
        <v>229800</v>
      </c>
      <c r="W118" s="78">
        <f t="shared" si="122"/>
        <v>181000</v>
      </c>
      <c r="X118" s="78">
        <f t="shared" si="122"/>
        <v>83400</v>
      </c>
      <c r="Y118" s="78">
        <f t="shared" si="122"/>
        <v>34600</v>
      </c>
      <c r="Z118" s="78">
        <f t="shared" si="122"/>
        <v>-14200</v>
      </c>
      <c r="AA118" s="78">
        <f t="shared" si="122"/>
        <v>-18000</v>
      </c>
      <c r="AB118" s="78">
        <f t="shared" si="122"/>
        <v>-18000</v>
      </c>
      <c r="AC118" s="78">
        <f t="shared" si="122"/>
        <v>-18000</v>
      </c>
      <c r="AD118" s="78">
        <f t="shared" si="122"/>
        <v>-14200</v>
      </c>
      <c r="AE118" s="78">
        <f t="shared" si="122"/>
        <v>83400</v>
      </c>
      <c r="AF118" s="78">
        <f t="shared" si="122"/>
        <v>181000</v>
      </c>
      <c r="AG118" s="78">
        <f t="shared" si="122"/>
        <v>229800</v>
      </c>
      <c r="AH118" s="78">
        <f t="shared" si="122"/>
        <v>229800</v>
      </c>
      <c r="AI118" s="78">
        <f t="shared" si="122"/>
        <v>181000</v>
      </c>
      <c r="AJ118" s="78">
        <f t="shared" si="122"/>
        <v>83400</v>
      </c>
      <c r="AK118" s="78">
        <f t="shared" si="122"/>
        <v>34600</v>
      </c>
      <c r="AL118" s="78">
        <f t="shared" si="122"/>
        <v>-14200</v>
      </c>
      <c r="AM118" s="78">
        <f t="shared" si="122"/>
        <v>-63000</v>
      </c>
    </row>
    <row r="119" spans="1:39" s="9" customFormat="1" ht="13" x14ac:dyDescent="0.3">
      <c r="A119" s="75" t="s">
        <v>133</v>
      </c>
      <c r="C119" s="78">
        <f t="shared" ref="C119:AM119" si="123">IF(C63=0,0,C117/C61)</f>
        <v>34.267583289264941</v>
      </c>
      <c r="D119" s="78">
        <f t="shared" si="123"/>
        <v>0</v>
      </c>
      <c r="E119" s="78">
        <f t="shared" si="123"/>
        <v>0</v>
      </c>
      <c r="F119" s="78">
        <f t="shared" si="123"/>
        <v>0</v>
      </c>
      <c r="G119" s="78">
        <f t="shared" si="123"/>
        <v>0</v>
      </c>
      <c r="H119" s="78">
        <f t="shared" si="123"/>
        <v>0</v>
      </c>
      <c r="I119" s="78">
        <f t="shared" si="123"/>
        <v>0</v>
      </c>
      <c r="J119" s="78">
        <f t="shared" si="123"/>
        <v>206.55737704918033</v>
      </c>
      <c r="K119" s="78">
        <f t="shared" si="123"/>
        <v>51.639344262295083</v>
      </c>
      <c r="L119" s="78">
        <f t="shared" si="123"/>
        <v>20.655737704918032</v>
      </c>
      <c r="M119" s="78">
        <f t="shared" si="123"/>
        <v>25.819672131147541</v>
      </c>
      <c r="N119" s="78">
        <f t="shared" si="123"/>
        <v>51.639344262295083</v>
      </c>
      <c r="O119" s="78">
        <f t="shared" si="123"/>
        <v>0</v>
      </c>
      <c r="P119" s="78">
        <f t="shared" si="123"/>
        <v>0</v>
      </c>
      <c r="Q119" s="78">
        <f t="shared" si="123"/>
        <v>0</v>
      </c>
      <c r="R119" s="78">
        <f t="shared" si="123"/>
        <v>103.27868852459017</v>
      </c>
      <c r="S119" s="78">
        <f t="shared" si="123"/>
        <v>34.42622950819672</v>
      </c>
      <c r="T119" s="78">
        <f t="shared" si="123"/>
        <v>20.655737704918032</v>
      </c>
      <c r="U119" s="78">
        <f t="shared" si="123"/>
        <v>17.21311475409836</v>
      </c>
      <c r="V119" s="78">
        <f t="shared" si="123"/>
        <v>17.21311475409836</v>
      </c>
      <c r="W119" s="78">
        <f t="shared" si="123"/>
        <v>20.655737704918032</v>
      </c>
      <c r="X119" s="78">
        <f t="shared" si="123"/>
        <v>34.42622950819672</v>
      </c>
      <c r="Y119" s="78">
        <f t="shared" si="123"/>
        <v>51.639344262295083</v>
      </c>
      <c r="Z119" s="78">
        <f t="shared" si="123"/>
        <v>103.27868852459017</v>
      </c>
      <c r="AA119" s="78">
        <f t="shared" si="123"/>
        <v>0</v>
      </c>
      <c r="AB119" s="78">
        <f t="shared" si="123"/>
        <v>0</v>
      </c>
      <c r="AC119" s="78">
        <f t="shared" si="123"/>
        <v>0</v>
      </c>
      <c r="AD119" s="78">
        <f t="shared" si="123"/>
        <v>103.27868852459017</v>
      </c>
      <c r="AE119" s="78">
        <f t="shared" si="123"/>
        <v>34.42622950819672</v>
      </c>
      <c r="AF119" s="78">
        <f t="shared" si="123"/>
        <v>20.655737704918032</v>
      </c>
      <c r="AG119" s="78">
        <f t="shared" si="123"/>
        <v>17.21311475409836</v>
      </c>
      <c r="AH119" s="78">
        <f t="shared" si="123"/>
        <v>17.21311475409836</v>
      </c>
      <c r="AI119" s="78">
        <f t="shared" si="123"/>
        <v>20.655737704918032</v>
      </c>
      <c r="AJ119" s="78">
        <f t="shared" si="123"/>
        <v>34.42622950819672</v>
      </c>
      <c r="AK119" s="78">
        <f t="shared" si="123"/>
        <v>51.639344262295083</v>
      </c>
      <c r="AL119" s="78">
        <f t="shared" si="123"/>
        <v>103.27868852459017</v>
      </c>
      <c r="AM119" s="78">
        <f t="shared" si="123"/>
        <v>0</v>
      </c>
    </row>
    <row r="120" spans="1:39" s="9" customFormat="1" ht="13" x14ac:dyDescent="0.3">
      <c r="A120" s="75"/>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row>
    <row r="121" spans="1:39" s="57" customFormat="1" ht="43" customHeight="1" x14ac:dyDescent="0.45">
      <c r="A121" s="127" t="s">
        <v>11</v>
      </c>
      <c r="C121" s="63"/>
      <c r="D121" s="58"/>
      <c r="E121" s="63"/>
      <c r="F121" s="63"/>
      <c r="G121" s="63"/>
      <c r="H121" s="63"/>
      <c r="I121" s="63"/>
      <c r="J121" s="63"/>
      <c r="K121" s="63"/>
      <c r="L121" s="63"/>
      <c r="M121" s="63"/>
    </row>
    <row r="122" spans="1:39" s="88" customFormat="1" ht="27" customHeight="1" x14ac:dyDescent="0.35">
      <c r="A122" s="87" t="str">
        <f t="shared" ref="A122:AM122" si="124">A$56</f>
        <v>Months --&gt;</v>
      </c>
      <c r="B122" s="88" t="str">
        <f t="shared" si="124"/>
        <v>Units</v>
      </c>
      <c r="C122" s="87" t="str">
        <f t="shared" si="124"/>
        <v>Total</v>
      </c>
      <c r="D122" s="87">
        <f t="shared" si="124"/>
        <v>46388</v>
      </c>
      <c r="E122" s="87">
        <f t="shared" si="124"/>
        <v>46419</v>
      </c>
      <c r="F122" s="87">
        <f t="shared" si="124"/>
        <v>46447</v>
      </c>
      <c r="G122" s="87">
        <f t="shared" si="124"/>
        <v>46478</v>
      </c>
      <c r="H122" s="87">
        <f t="shared" si="124"/>
        <v>46508</v>
      </c>
      <c r="I122" s="87">
        <f t="shared" si="124"/>
        <v>46539</v>
      </c>
      <c r="J122" s="87">
        <f t="shared" si="124"/>
        <v>46569</v>
      </c>
      <c r="K122" s="87">
        <f t="shared" si="124"/>
        <v>46600</v>
      </c>
      <c r="L122" s="87">
        <f t="shared" si="124"/>
        <v>46631</v>
      </c>
      <c r="M122" s="87">
        <f t="shared" si="124"/>
        <v>46661</v>
      </c>
      <c r="N122" s="87">
        <f t="shared" si="124"/>
        <v>46692</v>
      </c>
      <c r="O122" s="87">
        <f t="shared" si="124"/>
        <v>46722</v>
      </c>
      <c r="P122" s="87">
        <f t="shared" si="124"/>
        <v>46753</v>
      </c>
      <c r="Q122" s="87">
        <f t="shared" si="124"/>
        <v>46784</v>
      </c>
      <c r="R122" s="87">
        <f t="shared" si="124"/>
        <v>46813</v>
      </c>
      <c r="S122" s="87">
        <f t="shared" si="124"/>
        <v>46844</v>
      </c>
      <c r="T122" s="87">
        <f t="shared" si="124"/>
        <v>46874</v>
      </c>
      <c r="U122" s="87">
        <f t="shared" si="124"/>
        <v>46905</v>
      </c>
      <c r="V122" s="87">
        <f t="shared" si="124"/>
        <v>46935</v>
      </c>
      <c r="W122" s="87">
        <f t="shared" si="124"/>
        <v>46966</v>
      </c>
      <c r="X122" s="87">
        <f t="shared" si="124"/>
        <v>46997</v>
      </c>
      <c r="Y122" s="87">
        <f t="shared" si="124"/>
        <v>47027</v>
      </c>
      <c r="Z122" s="87">
        <f t="shared" si="124"/>
        <v>47058</v>
      </c>
      <c r="AA122" s="87">
        <f t="shared" si="124"/>
        <v>47088</v>
      </c>
      <c r="AB122" s="87">
        <f t="shared" si="124"/>
        <v>47119</v>
      </c>
      <c r="AC122" s="87">
        <f t="shared" si="124"/>
        <v>47150</v>
      </c>
      <c r="AD122" s="87">
        <f t="shared" si="124"/>
        <v>47178</v>
      </c>
      <c r="AE122" s="87">
        <f t="shared" si="124"/>
        <v>47209</v>
      </c>
      <c r="AF122" s="87">
        <f t="shared" si="124"/>
        <v>47239</v>
      </c>
      <c r="AG122" s="87">
        <f t="shared" si="124"/>
        <v>47270</v>
      </c>
      <c r="AH122" s="87">
        <f t="shared" si="124"/>
        <v>47300</v>
      </c>
      <c r="AI122" s="87">
        <f t="shared" si="124"/>
        <v>47331</v>
      </c>
      <c r="AJ122" s="87">
        <f t="shared" si="124"/>
        <v>47362</v>
      </c>
      <c r="AK122" s="87">
        <f t="shared" si="124"/>
        <v>47392</v>
      </c>
      <c r="AL122" s="87">
        <f t="shared" si="124"/>
        <v>47423</v>
      </c>
      <c r="AM122" s="87">
        <f t="shared" si="124"/>
        <v>47453</v>
      </c>
    </row>
    <row r="123" spans="1:39" s="9" customFormat="1" ht="14.5" x14ac:dyDescent="0.35">
      <c r="A123" s="64" t="s">
        <v>49</v>
      </c>
      <c r="C123" s="11"/>
      <c r="D123" s="11"/>
      <c r="E123" s="11"/>
      <c r="F123" s="11"/>
      <c r="G123" s="11"/>
      <c r="H123" s="11"/>
      <c r="I123" s="11"/>
      <c r="J123" s="11"/>
      <c r="K123" s="11"/>
      <c r="L123" s="11"/>
      <c r="M123" s="11"/>
    </row>
    <row r="124" spans="1:39" s="9" customFormat="1" ht="13" x14ac:dyDescent="0.3">
      <c r="A124" s="49" t="s">
        <v>141</v>
      </c>
      <c r="C124" s="77"/>
      <c r="D124" s="77"/>
      <c r="E124" s="77"/>
      <c r="F124" s="77"/>
      <c r="G124" s="77"/>
      <c r="H124" s="77"/>
      <c r="I124" s="77"/>
      <c r="J124" s="77"/>
      <c r="K124" s="77"/>
      <c r="L124" s="77"/>
      <c r="M124" s="77"/>
    </row>
    <row r="125" spans="1:39" s="9" customFormat="1" ht="13" x14ac:dyDescent="0.3">
      <c r="A125" s="49" t="s">
        <v>144</v>
      </c>
      <c r="C125" s="77"/>
      <c r="D125" s="77"/>
      <c r="E125" s="77"/>
      <c r="F125" s="77"/>
      <c r="G125" s="77"/>
      <c r="H125" s="77"/>
      <c r="I125" s="77"/>
      <c r="J125" s="77"/>
      <c r="K125" s="77"/>
      <c r="L125" s="77"/>
      <c r="M125" s="77"/>
    </row>
    <row r="126" spans="1:39" s="9" customFormat="1" ht="13" x14ac:dyDescent="0.3">
      <c r="A126" s="49" t="s">
        <v>142</v>
      </c>
      <c r="C126" s="77"/>
      <c r="D126" s="77"/>
      <c r="E126" s="77"/>
      <c r="F126" s="77"/>
      <c r="G126" s="77"/>
      <c r="H126" s="77"/>
      <c r="I126" s="77"/>
      <c r="J126" s="77"/>
      <c r="K126" s="77"/>
      <c r="L126" s="77"/>
      <c r="M126" s="77"/>
    </row>
    <row r="127" spans="1:39" s="9" customFormat="1" ht="13" x14ac:dyDescent="0.3">
      <c r="A127" s="49" t="s">
        <v>143</v>
      </c>
      <c r="C127" s="77"/>
      <c r="D127" s="77"/>
      <c r="E127" s="77"/>
      <c r="F127" s="77"/>
      <c r="G127" s="77"/>
      <c r="H127" s="77"/>
      <c r="I127" s="77"/>
      <c r="J127" s="77"/>
      <c r="K127" s="77"/>
      <c r="L127" s="77"/>
      <c r="M127" s="77"/>
    </row>
    <row r="128" spans="1:39" s="9" customFormat="1" ht="13" x14ac:dyDescent="0.3">
      <c r="A128" s="49"/>
      <c r="C128" s="77"/>
      <c r="D128" s="77"/>
      <c r="E128" s="77"/>
      <c r="F128" s="77"/>
      <c r="G128" s="77"/>
      <c r="H128" s="77"/>
      <c r="I128" s="77"/>
      <c r="J128" s="77"/>
      <c r="K128" s="77"/>
      <c r="L128" s="77"/>
      <c r="M128" s="77"/>
    </row>
    <row r="129" spans="1:39" s="9" customFormat="1" ht="13" x14ac:dyDescent="0.3">
      <c r="A129" s="33" t="s">
        <v>119</v>
      </c>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row>
    <row r="130" spans="1:39" s="9" customFormat="1" ht="13" x14ac:dyDescent="0.3">
      <c r="A130" s="33" t="s">
        <v>120</v>
      </c>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row>
    <row r="131" spans="1:39" s="9" customFormat="1" ht="13" x14ac:dyDescent="0.3">
      <c r="A131" s="33" t="s">
        <v>125</v>
      </c>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row>
    <row r="132" spans="1:39" s="9" customFormat="1" ht="13" x14ac:dyDescent="0.3">
      <c r="A132" s="14"/>
      <c r="C132" s="77"/>
      <c r="D132" s="77"/>
      <c r="E132" s="77"/>
      <c r="F132" s="77"/>
      <c r="G132" s="77"/>
      <c r="H132" s="77"/>
      <c r="I132" s="77"/>
      <c r="J132" s="77"/>
      <c r="K132" s="77"/>
      <c r="L132" s="77"/>
      <c r="M132" s="77"/>
    </row>
    <row r="133" spans="1:39" s="69" customFormat="1" ht="13" x14ac:dyDescent="0.3">
      <c r="A133" s="66" t="str">
        <f>A71</f>
        <v>a. Capex - Start up - land purchase</v>
      </c>
      <c r="B133" s="9" t="str">
        <f>B71</f>
        <v xml:space="preserve">$ </v>
      </c>
      <c r="C133" s="65"/>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row>
    <row r="134" spans="1:39" s="9" customFormat="1" ht="13" x14ac:dyDescent="0.3">
      <c r="A134" s="33" t="s">
        <v>122</v>
      </c>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row>
    <row r="135" spans="1:39" s="9" customFormat="1" ht="13" x14ac:dyDescent="0.3">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row>
    <row r="136" spans="1:39" s="9" customFormat="1" ht="13" x14ac:dyDescent="0.3">
      <c r="A136" s="10" t="s">
        <v>41</v>
      </c>
      <c r="C136" s="11"/>
      <c r="D136" s="77"/>
      <c r="E136" s="77"/>
      <c r="F136" s="77"/>
      <c r="G136" s="77"/>
      <c r="H136" s="77"/>
      <c r="I136" s="77"/>
      <c r="J136" s="77"/>
      <c r="K136" s="77"/>
      <c r="L136" s="77"/>
      <c r="M136" s="77"/>
    </row>
    <row r="137" spans="1:39" s="9" customFormat="1" ht="13" x14ac:dyDescent="0.3">
      <c r="A137" s="33" t="s">
        <v>123</v>
      </c>
      <c r="C137" s="77"/>
      <c r="D137" s="77"/>
      <c r="E137" s="77"/>
      <c r="F137" s="77"/>
      <c r="G137" s="77"/>
      <c r="H137" s="77"/>
      <c r="I137" s="77"/>
      <c r="J137" s="77"/>
      <c r="K137" s="77"/>
      <c r="L137" s="77"/>
      <c r="M137" s="77"/>
    </row>
    <row r="138" spans="1:39" s="9" customFormat="1" x14ac:dyDescent="0.35">
      <c r="A138" s="72" t="s">
        <v>43</v>
      </c>
      <c r="B138" s="72" t="s">
        <v>76</v>
      </c>
      <c r="C138" s="65"/>
      <c r="D138" s="106">
        <v>0</v>
      </c>
      <c r="E138" s="68">
        <f>D144</f>
        <v>124583.33333333333</v>
      </c>
      <c r="F138" s="68">
        <f t="shared" ref="F138:Y138" si="125">E144</f>
        <v>448084.72222222219</v>
      </c>
      <c r="G138" s="68">
        <f t="shared" si="125"/>
        <v>670841.10648148146</v>
      </c>
      <c r="H138" s="68">
        <f t="shared" si="125"/>
        <v>892854.96945987653</v>
      </c>
      <c r="I138" s="68">
        <f t="shared" si="125"/>
        <v>1114128.7862283436</v>
      </c>
      <c r="J138" s="68">
        <f t="shared" si="125"/>
        <v>1309748.3569409158</v>
      </c>
      <c r="K138" s="68">
        <f t="shared" si="125"/>
        <v>1305382.5290844461</v>
      </c>
      <c r="L138" s="68">
        <f t="shared" si="125"/>
        <v>1301031.2539874979</v>
      </c>
      <c r="M138" s="68">
        <f t="shared" si="125"/>
        <v>1296694.4831408728</v>
      </c>
      <c r="N138" s="68">
        <f t="shared" si="125"/>
        <v>1292372.1681970698</v>
      </c>
      <c r="O138" s="68">
        <f t="shared" si="125"/>
        <v>1288064.2609697462</v>
      </c>
      <c r="P138" s="68">
        <f t="shared" si="125"/>
        <v>1283770.7134331802</v>
      </c>
      <c r="Q138" s="68">
        <f t="shared" si="125"/>
        <v>1279491.4777217363</v>
      </c>
      <c r="R138" s="68">
        <f t="shared" si="125"/>
        <v>1275226.5061293305</v>
      </c>
      <c r="S138" s="68">
        <f t="shared" si="125"/>
        <v>1270975.7511088995</v>
      </c>
      <c r="T138" s="68">
        <f t="shared" si="125"/>
        <v>1266739.1652718699</v>
      </c>
      <c r="U138" s="68">
        <f t="shared" si="125"/>
        <v>1262516.7013876303</v>
      </c>
      <c r="V138" s="68">
        <f t="shared" si="125"/>
        <v>1258308.3123830049</v>
      </c>
      <c r="W138" s="68">
        <f t="shared" si="125"/>
        <v>1254113.9513417282</v>
      </c>
      <c r="X138" s="68">
        <f t="shared" si="125"/>
        <v>1249933.5715039223</v>
      </c>
      <c r="Y138" s="68">
        <f t="shared" si="125"/>
        <v>1245767.1262655759</v>
      </c>
      <c r="Z138" s="68">
        <f t="shared" ref="Z138" si="126">Y144</f>
        <v>1241614.5691780238</v>
      </c>
      <c r="AA138" s="68">
        <f t="shared" ref="AA138" si="127">Z144</f>
        <v>1237475.8539474304</v>
      </c>
      <c r="AB138" s="68">
        <f t="shared" ref="AB138" si="128">AA144</f>
        <v>1233350.9344342723</v>
      </c>
      <c r="AC138" s="68">
        <f t="shared" ref="AC138" si="129">AB144</f>
        <v>1229239.7646528247</v>
      </c>
      <c r="AD138" s="68">
        <f t="shared" ref="AD138" si="130">AC144</f>
        <v>1225142.2987706487</v>
      </c>
      <c r="AE138" s="68">
        <f t="shared" ref="AE138" si="131">AD144</f>
        <v>1221058.4911080799</v>
      </c>
      <c r="AF138" s="68">
        <f t="shared" ref="AF138" si="132">AE144</f>
        <v>1216988.2961377196</v>
      </c>
      <c r="AG138" s="68">
        <f t="shared" ref="AG138" si="133">AF144</f>
        <v>1212931.6684839271</v>
      </c>
      <c r="AH138" s="68">
        <f t="shared" ref="AH138" si="134">AG144</f>
        <v>1208888.562922314</v>
      </c>
      <c r="AI138" s="68">
        <f t="shared" ref="AI138" si="135">AH144</f>
        <v>1204858.9343792396</v>
      </c>
      <c r="AJ138" s="68">
        <f t="shared" ref="AJ138" si="136">AI144</f>
        <v>1200842.7379313088</v>
      </c>
      <c r="AK138" s="68">
        <f t="shared" ref="AK138" si="137">AJ144</f>
        <v>1196839.9288048712</v>
      </c>
      <c r="AL138" s="68">
        <f t="shared" ref="AL138" si="138">AK144</f>
        <v>1192850.4623755217</v>
      </c>
      <c r="AM138" s="68">
        <f t="shared" ref="AM138" si="139">AL144</f>
        <v>1188874.2941676034</v>
      </c>
    </row>
    <row r="139" spans="1:39" s="9" customFormat="1" x14ac:dyDescent="0.35">
      <c r="A139" s="72" t="s">
        <v>124</v>
      </c>
      <c r="B139" s="72"/>
      <c r="C139" s="65"/>
      <c r="D139" s="106"/>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row>
    <row r="140" spans="1:39" s="69" customFormat="1" ht="13" x14ac:dyDescent="0.3">
      <c r="A140" s="69" t="str">
        <f>A78</f>
        <v>b. Capex - Start up - 'Capital Works'</v>
      </c>
      <c r="B140" s="9" t="str">
        <f>B78</f>
        <v xml:space="preserve">$ </v>
      </c>
      <c r="C140" s="65">
        <f>SUM(D140:AM140)</f>
        <v>1325000</v>
      </c>
      <c r="D140" s="68">
        <f t="shared" ref="D140:AM140" si="140">D78</f>
        <v>125000</v>
      </c>
      <c r="E140" s="68">
        <f t="shared" si="140"/>
        <v>325000</v>
      </c>
      <c r="F140" s="68">
        <f t="shared" si="140"/>
        <v>225000</v>
      </c>
      <c r="G140" s="68">
        <f t="shared" si="140"/>
        <v>225000</v>
      </c>
      <c r="H140" s="68">
        <f t="shared" si="140"/>
        <v>225000</v>
      </c>
      <c r="I140" s="68">
        <f t="shared" si="140"/>
        <v>200000</v>
      </c>
      <c r="J140" s="68">
        <f t="shared" si="140"/>
        <v>0</v>
      </c>
      <c r="K140" s="68">
        <f t="shared" si="140"/>
        <v>0</v>
      </c>
      <c r="L140" s="68">
        <f t="shared" si="140"/>
        <v>0</v>
      </c>
      <c r="M140" s="68">
        <f t="shared" si="140"/>
        <v>0</v>
      </c>
      <c r="N140" s="68">
        <f t="shared" si="140"/>
        <v>0</v>
      </c>
      <c r="O140" s="68">
        <f t="shared" si="140"/>
        <v>0</v>
      </c>
      <c r="P140" s="68">
        <f t="shared" si="140"/>
        <v>0</v>
      </c>
      <c r="Q140" s="68">
        <f t="shared" si="140"/>
        <v>0</v>
      </c>
      <c r="R140" s="68">
        <f t="shared" si="140"/>
        <v>0</v>
      </c>
      <c r="S140" s="68">
        <f t="shared" si="140"/>
        <v>0</v>
      </c>
      <c r="T140" s="68">
        <f t="shared" si="140"/>
        <v>0</v>
      </c>
      <c r="U140" s="68">
        <f t="shared" si="140"/>
        <v>0</v>
      </c>
      <c r="V140" s="68">
        <f t="shared" si="140"/>
        <v>0</v>
      </c>
      <c r="W140" s="68">
        <f t="shared" si="140"/>
        <v>0</v>
      </c>
      <c r="X140" s="68">
        <f t="shared" si="140"/>
        <v>0</v>
      </c>
      <c r="Y140" s="68">
        <f t="shared" si="140"/>
        <v>0</v>
      </c>
      <c r="Z140" s="68">
        <f t="shared" si="140"/>
        <v>0</v>
      </c>
      <c r="AA140" s="68">
        <f t="shared" si="140"/>
        <v>0</v>
      </c>
      <c r="AB140" s="68">
        <f t="shared" si="140"/>
        <v>0</v>
      </c>
      <c r="AC140" s="68">
        <f t="shared" si="140"/>
        <v>0</v>
      </c>
      <c r="AD140" s="68">
        <f t="shared" si="140"/>
        <v>0</v>
      </c>
      <c r="AE140" s="68">
        <f t="shared" si="140"/>
        <v>0</v>
      </c>
      <c r="AF140" s="68">
        <f t="shared" si="140"/>
        <v>0</v>
      </c>
      <c r="AG140" s="68">
        <f t="shared" si="140"/>
        <v>0</v>
      </c>
      <c r="AH140" s="68">
        <f t="shared" si="140"/>
        <v>0</v>
      </c>
      <c r="AI140" s="68">
        <f t="shared" si="140"/>
        <v>0</v>
      </c>
      <c r="AJ140" s="68">
        <f t="shared" si="140"/>
        <v>0</v>
      </c>
      <c r="AK140" s="68">
        <f t="shared" si="140"/>
        <v>0</v>
      </c>
      <c r="AL140" s="68">
        <f t="shared" si="140"/>
        <v>0</v>
      </c>
      <c r="AM140" s="68">
        <f t="shared" si="140"/>
        <v>0</v>
      </c>
    </row>
    <row r="141" spans="1:39" s="69" customFormat="1" ht="13" x14ac:dyDescent="0.3">
      <c r="A141" s="69" t="s">
        <v>50</v>
      </c>
      <c r="B141" s="9" t="s">
        <v>76</v>
      </c>
      <c r="C141" s="68"/>
      <c r="D141" s="68">
        <f>D138+D140</f>
        <v>125000</v>
      </c>
      <c r="E141" s="68">
        <f t="shared" ref="E141:Y141" si="141">E138+E140</f>
        <v>449583.33333333331</v>
      </c>
      <c r="F141" s="68">
        <f t="shared" si="141"/>
        <v>673084.72222222225</v>
      </c>
      <c r="G141" s="68">
        <f t="shared" si="141"/>
        <v>895841.10648148146</v>
      </c>
      <c r="H141" s="68">
        <f t="shared" si="141"/>
        <v>1117854.9694598764</v>
      </c>
      <c r="I141" s="68">
        <f t="shared" si="141"/>
        <v>1314128.7862283436</v>
      </c>
      <c r="J141" s="68">
        <f t="shared" si="141"/>
        <v>1309748.3569409158</v>
      </c>
      <c r="K141" s="68">
        <f t="shared" si="141"/>
        <v>1305382.5290844461</v>
      </c>
      <c r="L141" s="68">
        <f t="shared" si="141"/>
        <v>1301031.2539874979</v>
      </c>
      <c r="M141" s="68">
        <f t="shared" si="141"/>
        <v>1296694.4831408728</v>
      </c>
      <c r="N141" s="68">
        <f t="shared" si="141"/>
        <v>1292372.1681970698</v>
      </c>
      <c r="O141" s="68">
        <f t="shared" si="141"/>
        <v>1288064.2609697462</v>
      </c>
      <c r="P141" s="68">
        <f t="shared" si="141"/>
        <v>1283770.7134331802</v>
      </c>
      <c r="Q141" s="68">
        <f t="shared" si="141"/>
        <v>1279491.4777217363</v>
      </c>
      <c r="R141" s="68">
        <f t="shared" si="141"/>
        <v>1275226.5061293305</v>
      </c>
      <c r="S141" s="68">
        <f t="shared" si="141"/>
        <v>1270975.7511088995</v>
      </c>
      <c r="T141" s="68">
        <f t="shared" si="141"/>
        <v>1266739.1652718699</v>
      </c>
      <c r="U141" s="68">
        <f t="shared" si="141"/>
        <v>1262516.7013876303</v>
      </c>
      <c r="V141" s="68">
        <f t="shared" si="141"/>
        <v>1258308.3123830049</v>
      </c>
      <c r="W141" s="68">
        <f t="shared" si="141"/>
        <v>1254113.9513417282</v>
      </c>
      <c r="X141" s="68">
        <f t="shared" si="141"/>
        <v>1249933.5715039223</v>
      </c>
      <c r="Y141" s="68">
        <f t="shared" si="141"/>
        <v>1245767.1262655759</v>
      </c>
      <c r="Z141" s="68">
        <f t="shared" ref="Z141" si="142">Z138+Z140</f>
        <v>1241614.5691780238</v>
      </c>
      <c r="AA141" s="68">
        <f t="shared" ref="AA141" si="143">AA138+AA140</f>
        <v>1237475.8539474304</v>
      </c>
      <c r="AB141" s="68">
        <f t="shared" ref="AB141" si="144">AB138+AB140</f>
        <v>1233350.9344342723</v>
      </c>
      <c r="AC141" s="68">
        <f t="shared" ref="AC141" si="145">AC138+AC140</f>
        <v>1229239.7646528247</v>
      </c>
      <c r="AD141" s="68">
        <f t="shared" ref="AD141" si="146">AD138+AD140</f>
        <v>1225142.2987706487</v>
      </c>
      <c r="AE141" s="68">
        <f t="shared" ref="AE141" si="147">AE138+AE140</f>
        <v>1221058.4911080799</v>
      </c>
      <c r="AF141" s="68">
        <f t="shared" ref="AF141" si="148">AF138+AF140</f>
        <v>1216988.2961377196</v>
      </c>
      <c r="AG141" s="68">
        <f t="shared" ref="AG141" si="149">AG138+AG140</f>
        <v>1212931.6684839271</v>
      </c>
      <c r="AH141" s="68">
        <f t="shared" ref="AH141" si="150">AH138+AH140</f>
        <v>1208888.562922314</v>
      </c>
      <c r="AI141" s="68">
        <f t="shared" ref="AI141" si="151">AI138+AI140</f>
        <v>1204858.9343792396</v>
      </c>
      <c r="AJ141" s="68">
        <f t="shared" ref="AJ141" si="152">AJ138+AJ140</f>
        <v>1200842.7379313088</v>
      </c>
      <c r="AK141" s="68">
        <f t="shared" ref="AK141" si="153">AK138+AK140</f>
        <v>1196839.9288048712</v>
      </c>
      <c r="AL141" s="68">
        <f t="shared" ref="AL141" si="154">AL138+AL140</f>
        <v>1192850.4623755217</v>
      </c>
      <c r="AM141" s="68">
        <f t="shared" ref="AM141" si="155">AM138+AM140</f>
        <v>1188874.2941676034</v>
      </c>
    </row>
    <row r="142" spans="1:39" s="9" customFormat="1" ht="13" x14ac:dyDescent="0.3">
      <c r="A142" s="104" t="s">
        <v>42</v>
      </c>
      <c r="B142" s="104" t="s">
        <v>39</v>
      </c>
      <c r="C142" s="68"/>
      <c r="D142" s="105">
        <f>4%^1/12</f>
        <v>3.3333333333333335E-3</v>
      </c>
      <c r="E142" s="105">
        <f>D142</f>
        <v>3.3333333333333335E-3</v>
      </c>
      <c r="F142" s="105">
        <f t="shared" ref="F142:Y142" si="156">E142</f>
        <v>3.3333333333333335E-3</v>
      </c>
      <c r="G142" s="105">
        <f t="shared" si="156"/>
        <v>3.3333333333333335E-3</v>
      </c>
      <c r="H142" s="105">
        <f t="shared" si="156"/>
        <v>3.3333333333333335E-3</v>
      </c>
      <c r="I142" s="105">
        <f t="shared" si="156"/>
        <v>3.3333333333333335E-3</v>
      </c>
      <c r="J142" s="105">
        <f t="shared" si="156"/>
        <v>3.3333333333333335E-3</v>
      </c>
      <c r="K142" s="105">
        <f t="shared" si="156"/>
        <v>3.3333333333333335E-3</v>
      </c>
      <c r="L142" s="105">
        <f t="shared" si="156"/>
        <v>3.3333333333333335E-3</v>
      </c>
      <c r="M142" s="105">
        <f t="shared" si="156"/>
        <v>3.3333333333333335E-3</v>
      </c>
      <c r="N142" s="105">
        <f t="shared" si="156"/>
        <v>3.3333333333333335E-3</v>
      </c>
      <c r="O142" s="105">
        <f t="shared" si="156"/>
        <v>3.3333333333333335E-3</v>
      </c>
      <c r="P142" s="105">
        <f t="shared" si="156"/>
        <v>3.3333333333333335E-3</v>
      </c>
      <c r="Q142" s="105">
        <f t="shared" si="156"/>
        <v>3.3333333333333335E-3</v>
      </c>
      <c r="R142" s="105">
        <f t="shared" si="156"/>
        <v>3.3333333333333335E-3</v>
      </c>
      <c r="S142" s="105">
        <f t="shared" si="156"/>
        <v>3.3333333333333335E-3</v>
      </c>
      <c r="T142" s="105">
        <f t="shared" si="156"/>
        <v>3.3333333333333335E-3</v>
      </c>
      <c r="U142" s="105">
        <f t="shared" si="156"/>
        <v>3.3333333333333335E-3</v>
      </c>
      <c r="V142" s="105">
        <f t="shared" si="156"/>
        <v>3.3333333333333335E-3</v>
      </c>
      <c r="W142" s="105">
        <f t="shared" si="156"/>
        <v>3.3333333333333335E-3</v>
      </c>
      <c r="X142" s="105">
        <f t="shared" si="156"/>
        <v>3.3333333333333335E-3</v>
      </c>
      <c r="Y142" s="105">
        <f t="shared" si="156"/>
        <v>3.3333333333333335E-3</v>
      </c>
      <c r="Z142" s="105">
        <f t="shared" ref="Z142" si="157">Y142</f>
        <v>3.3333333333333335E-3</v>
      </c>
      <c r="AA142" s="105">
        <f t="shared" ref="AA142" si="158">Z142</f>
        <v>3.3333333333333335E-3</v>
      </c>
      <c r="AB142" s="105">
        <f t="shared" ref="AB142" si="159">AA142</f>
        <v>3.3333333333333335E-3</v>
      </c>
      <c r="AC142" s="105">
        <f t="shared" ref="AC142" si="160">AB142</f>
        <v>3.3333333333333335E-3</v>
      </c>
      <c r="AD142" s="105">
        <f t="shared" ref="AD142" si="161">AC142</f>
        <v>3.3333333333333335E-3</v>
      </c>
      <c r="AE142" s="105">
        <f t="shared" ref="AE142" si="162">AD142</f>
        <v>3.3333333333333335E-3</v>
      </c>
      <c r="AF142" s="105">
        <f t="shared" ref="AF142" si="163">AE142</f>
        <v>3.3333333333333335E-3</v>
      </c>
      <c r="AG142" s="105">
        <f t="shared" ref="AG142" si="164">AF142</f>
        <v>3.3333333333333335E-3</v>
      </c>
      <c r="AH142" s="105">
        <f t="shared" ref="AH142" si="165">AG142</f>
        <v>3.3333333333333335E-3</v>
      </c>
      <c r="AI142" s="105">
        <f t="shared" ref="AI142" si="166">AH142</f>
        <v>3.3333333333333335E-3</v>
      </c>
      <c r="AJ142" s="105">
        <f t="shared" ref="AJ142" si="167">AI142</f>
        <v>3.3333333333333335E-3</v>
      </c>
      <c r="AK142" s="105">
        <f t="shared" ref="AK142" si="168">AJ142</f>
        <v>3.3333333333333335E-3</v>
      </c>
      <c r="AL142" s="105">
        <f t="shared" ref="AL142" si="169">AK142</f>
        <v>3.3333333333333335E-3</v>
      </c>
      <c r="AM142" s="105">
        <f t="shared" ref="AM142" si="170">AL142</f>
        <v>3.3333333333333335E-3</v>
      </c>
    </row>
    <row r="143" spans="1:39" s="69" customFormat="1" ht="13" x14ac:dyDescent="0.3">
      <c r="A143" s="66" t="s">
        <v>116</v>
      </c>
      <c r="B143" s="9" t="s">
        <v>76</v>
      </c>
      <c r="C143" s="65">
        <f>SUM(D143:AM143)</f>
        <v>140088.62014628825</v>
      </c>
      <c r="D143" s="65">
        <f>D142*D141</f>
        <v>416.66666666666669</v>
      </c>
      <c r="E143" s="65">
        <f t="shared" ref="E143:Y143" si="171">E142*E141</f>
        <v>1498.6111111111111</v>
      </c>
      <c r="F143" s="65">
        <f t="shared" si="171"/>
        <v>2243.6157407407409</v>
      </c>
      <c r="G143" s="65">
        <f t="shared" si="171"/>
        <v>2986.1370216049386</v>
      </c>
      <c r="H143" s="65">
        <f t="shared" si="171"/>
        <v>3726.1832315329216</v>
      </c>
      <c r="I143" s="65">
        <f t="shared" si="171"/>
        <v>4380.4292874278126</v>
      </c>
      <c r="J143" s="65">
        <f t="shared" si="171"/>
        <v>4365.8278564697193</v>
      </c>
      <c r="K143" s="65">
        <f t="shared" si="171"/>
        <v>4351.275096948154</v>
      </c>
      <c r="L143" s="65">
        <f t="shared" si="171"/>
        <v>4336.7708466249933</v>
      </c>
      <c r="M143" s="65">
        <f t="shared" si="171"/>
        <v>4322.3149438029095</v>
      </c>
      <c r="N143" s="65">
        <f t="shared" si="171"/>
        <v>4307.9072273235661</v>
      </c>
      <c r="O143" s="65">
        <f t="shared" si="171"/>
        <v>4293.5475365658212</v>
      </c>
      <c r="P143" s="65">
        <f t="shared" si="171"/>
        <v>4279.2357114439346</v>
      </c>
      <c r="Q143" s="65">
        <f t="shared" si="171"/>
        <v>4264.9715924057882</v>
      </c>
      <c r="R143" s="65">
        <f t="shared" si="171"/>
        <v>4250.7550204311019</v>
      </c>
      <c r="S143" s="65">
        <f t="shared" si="171"/>
        <v>4236.5858370296655</v>
      </c>
      <c r="T143" s="65">
        <f t="shared" si="171"/>
        <v>4222.4638842395661</v>
      </c>
      <c r="U143" s="65">
        <f t="shared" si="171"/>
        <v>4208.3890046254346</v>
      </c>
      <c r="V143" s="65">
        <f t="shared" si="171"/>
        <v>4194.361041276683</v>
      </c>
      <c r="W143" s="65">
        <f t="shared" si="171"/>
        <v>4180.3798378057609</v>
      </c>
      <c r="X143" s="65">
        <f t="shared" si="171"/>
        <v>4166.4452383464077</v>
      </c>
      <c r="Y143" s="65">
        <f t="shared" si="171"/>
        <v>4152.5570875519197</v>
      </c>
      <c r="Z143" s="65">
        <f t="shared" ref="Z143" si="172">Z142*Z141</f>
        <v>4138.7152305934133</v>
      </c>
      <c r="AA143" s="65">
        <f t="shared" ref="AA143" si="173">AA142*AA141</f>
        <v>4124.9195131581018</v>
      </c>
      <c r="AB143" s="65">
        <f t="shared" ref="AB143" si="174">AB142*AB141</f>
        <v>4111.1697814475747</v>
      </c>
      <c r="AC143" s="65">
        <f t="shared" ref="AC143" si="175">AC142*AC141</f>
        <v>4097.4658821760831</v>
      </c>
      <c r="AD143" s="65">
        <f t="shared" ref="AD143" si="176">AD142*AD141</f>
        <v>4083.8076625688291</v>
      </c>
      <c r="AE143" s="65">
        <f t="shared" ref="AE143" si="177">AE142*AE141</f>
        <v>4070.1949703602668</v>
      </c>
      <c r="AF143" s="65">
        <f t="shared" ref="AF143" si="178">AF142*AF141</f>
        <v>4056.6276537923991</v>
      </c>
      <c r="AG143" s="65">
        <f t="shared" ref="AG143" si="179">AG142*AG141</f>
        <v>4043.1055616130907</v>
      </c>
      <c r="AH143" s="65">
        <f t="shared" ref="AH143" si="180">AH142*AH141</f>
        <v>4029.6285430743806</v>
      </c>
      <c r="AI143" s="65">
        <f t="shared" ref="AI143" si="181">AI142*AI141</f>
        <v>4016.196447930799</v>
      </c>
      <c r="AJ143" s="65">
        <f t="shared" ref="AJ143" si="182">AJ142*AJ141</f>
        <v>4002.8091264376962</v>
      </c>
      <c r="AK143" s="65">
        <f t="shared" ref="AK143" si="183">AK142*AK141</f>
        <v>3989.4664293495707</v>
      </c>
      <c r="AL143" s="65">
        <f t="shared" ref="AL143" si="184">AL142*AL141</f>
        <v>3976.1682079184056</v>
      </c>
      <c r="AM143" s="65">
        <f t="shared" ref="AM143" si="185">AM142*AM141</f>
        <v>3962.9143138920113</v>
      </c>
    </row>
    <row r="144" spans="1:39" s="9" customFormat="1" ht="13" x14ac:dyDescent="0.3">
      <c r="A144" s="72" t="s">
        <v>44</v>
      </c>
      <c r="B144" s="72" t="s">
        <v>76</v>
      </c>
      <c r="C144" s="65"/>
      <c r="D144" s="68">
        <f>D141-D143</f>
        <v>124583.33333333333</v>
      </c>
      <c r="E144" s="68">
        <f t="shared" ref="E144" si="186">E141-E143</f>
        <v>448084.72222222219</v>
      </c>
      <c r="F144" s="68">
        <f t="shared" ref="F144" si="187">F141-F143</f>
        <v>670841.10648148146</v>
      </c>
      <c r="G144" s="68">
        <f t="shared" ref="G144" si="188">G141-G143</f>
        <v>892854.96945987653</v>
      </c>
      <c r="H144" s="68">
        <f t="shared" ref="H144" si="189">H141-H143</f>
        <v>1114128.7862283436</v>
      </c>
      <c r="I144" s="68">
        <f t="shared" ref="I144" si="190">I141-I143</f>
        <v>1309748.3569409158</v>
      </c>
      <c r="J144" s="68">
        <f t="shared" ref="J144" si="191">J141-J143</f>
        <v>1305382.5290844461</v>
      </c>
      <c r="K144" s="68">
        <f t="shared" ref="K144" si="192">K141-K143</f>
        <v>1301031.2539874979</v>
      </c>
      <c r="L144" s="68">
        <f t="shared" ref="L144" si="193">L141-L143</f>
        <v>1296694.4831408728</v>
      </c>
      <c r="M144" s="68">
        <f t="shared" ref="M144" si="194">M141-M143</f>
        <v>1292372.1681970698</v>
      </c>
      <c r="N144" s="68">
        <f t="shared" ref="N144" si="195">N141-N143</f>
        <v>1288064.2609697462</v>
      </c>
      <c r="O144" s="68">
        <f t="shared" ref="O144" si="196">O141-O143</f>
        <v>1283770.7134331802</v>
      </c>
      <c r="P144" s="68">
        <f t="shared" ref="P144" si="197">P141-P143</f>
        <v>1279491.4777217363</v>
      </c>
      <c r="Q144" s="68">
        <f t="shared" ref="Q144" si="198">Q141-Q143</f>
        <v>1275226.5061293305</v>
      </c>
      <c r="R144" s="68">
        <f t="shared" ref="R144" si="199">R141-R143</f>
        <v>1270975.7511088995</v>
      </c>
      <c r="S144" s="68">
        <f t="shared" ref="S144" si="200">S141-S143</f>
        <v>1266739.1652718699</v>
      </c>
      <c r="T144" s="68">
        <f t="shared" ref="T144" si="201">T141-T143</f>
        <v>1262516.7013876303</v>
      </c>
      <c r="U144" s="68">
        <f t="shared" ref="U144" si="202">U141-U143</f>
        <v>1258308.3123830049</v>
      </c>
      <c r="V144" s="68">
        <f t="shared" ref="V144" si="203">V141-V143</f>
        <v>1254113.9513417282</v>
      </c>
      <c r="W144" s="68">
        <f t="shared" ref="W144" si="204">W141-W143</f>
        <v>1249933.5715039223</v>
      </c>
      <c r="X144" s="68">
        <f t="shared" ref="X144" si="205">X141-X143</f>
        <v>1245767.1262655759</v>
      </c>
      <c r="Y144" s="68">
        <f t="shared" ref="Y144" si="206">Y141-Y143</f>
        <v>1241614.5691780238</v>
      </c>
      <c r="Z144" s="68">
        <f t="shared" ref="Z144" si="207">Z141-Z143</f>
        <v>1237475.8539474304</v>
      </c>
      <c r="AA144" s="68">
        <f t="shared" ref="AA144" si="208">AA141-AA143</f>
        <v>1233350.9344342723</v>
      </c>
      <c r="AB144" s="68">
        <f t="shared" ref="AB144" si="209">AB141-AB143</f>
        <v>1229239.7646528247</v>
      </c>
      <c r="AC144" s="68">
        <f t="shared" ref="AC144" si="210">AC141-AC143</f>
        <v>1225142.2987706487</v>
      </c>
      <c r="AD144" s="68">
        <f t="shared" ref="AD144" si="211">AD141-AD143</f>
        <v>1221058.4911080799</v>
      </c>
      <c r="AE144" s="68">
        <f t="shared" ref="AE144" si="212">AE141-AE143</f>
        <v>1216988.2961377196</v>
      </c>
      <c r="AF144" s="68">
        <f t="shared" ref="AF144" si="213">AF141-AF143</f>
        <v>1212931.6684839271</v>
      </c>
      <c r="AG144" s="68">
        <f t="shared" ref="AG144" si="214">AG141-AG143</f>
        <v>1208888.562922314</v>
      </c>
      <c r="AH144" s="68">
        <f t="shared" ref="AH144" si="215">AH141-AH143</f>
        <v>1204858.9343792396</v>
      </c>
      <c r="AI144" s="68">
        <f t="shared" ref="AI144" si="216">AI141-AI143</f>
        <v>1200842.7379313088</v>
      </c>
      <c r="AJ144" s="68">
        <f t="shared" ref="AJ144" si="217">AJ141-AJ143</f>
        <v>1196839.9288048712</v>
      </c>
      <c r="AK144" s="68">
        <f t="shared" ref="AK144" si="218">AK141-AK143</f>
        <v>1192850.4623755217</v>
      </c>
      <c r="AL144" s="68">
        <f t="shared" ref="AL144" si="219">AL141-AL143</f>
        <v>1188874.2941676034</v>
      </c>
      <c r="AM144" s="68">
        <f t="shared" ref="AM144" si="220">AM141-AM143</f>
        <v>1184911.3798537115</v>
      </c>
    </row>
    <row r="145" spans="1:39" s="9" customFormat="1" ht="13" x14ac:dyDescent="0.3">
      <c r="A145" s="72"/>
      <c r="B145" s="72"/>
      <c r="C145" s="65"/>
      <c r="D145" s="68"/>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row>
    <row r="146" spans="1:39" s="9" customFormat="1" ht="13" x14ac:dyDescent="0.3">
      <c r="A146" s="10" t="s">
        <v>45</v>
      </c>
      <c r="C146" s="11"/>
      <c r="D146" s="77"/>
      <c r="E146" s="77"/>
      <c r="F146" s="77"/>
      <c r="G146" s="77"/>
      <c r="H146" s="77"/>
      <c r="I146" s="77"/>
      <c r="J146" s="77"/>
      <c r="K146" s="77"/>
      <c r="L146" s="77"/>
      <c r="M146" s="77"/>
    </row>
    <row r="147" spans="1:39" s="9" customFormat="1" ht="13" x14ac:dyDescent="0.3">
      <c r="A147" s="33" t="s">
        <v>112</v>
      </c>
      <c r="C147" s="77"/>
      <c r="D147" s="77"/>
      <c r="E147" s="77"/>
      <c r="F147" s="77"/>
      <c r="G147" s="77"/>
      <c r="H147" s="77"/>
      <c r="I147" s="77"/>
      <c r="J147" s="77"/>
      <c r="K147" s="77"/>
      <c r="L147" s="77"/>
      <c r="M147" s="77"/>
    </row>
    <row r="148" spans="1:39" s="9" customFormat="1" ht="13.5" thickBot="1" x14ac:dyDescent="0.35">
      <c r="A148" s="33" t="s">
        <v>111</v>
      </c>
      <c r="C148" s="77"/>
      <c r="D148" s="77"/>
      <c r="E148" s="77"/>
      <c r="F148" s="77"/>
      <c r="G148" s="77"/>
      <c r="H148" s="77"/>
      <c r="I148" s="77"/>
      <c r="J148" s="77"/>
      <c r="K148" s="77"/>
      <c r="L148" s="77"/>
      <c r="M148" s="77"/>
    </row>
    <row r="149" spans="1:39" s="9" customFormat="1" ht="16" thickBot="1" x14ac:dyDescent="0.4">
      <c r="A149" s="72" t="s">
        <v>46</v>
      </c>
      <c r="B149" s="72" t="s">
        <v>76</v>
      </c>
      <c r="C149" s="65"/>
      <c r="D149" s="110">
        <v>0</v>
      </c>
      <c r="E149" s="68">
        <f>D156</f>
        <v>299625</v>
      </c>
      <c r="F149" s="68">
        <f>E156</f>
        <v>308070.3125</v>
      </c>
      <c r="G149" s="68">
        <f t="shared" ref="G149:Y149" si="221">F156</f>
        <v>316339.68098958331</v>
      </c>
      <c r="H149" s="68">
        <f t="shared" si="221"/>
        <v>324436.770968967</v>
      </c>
      <c r="I149" s="68">
        <f t="shared" si="221"/>
        <v>332365.17157378019</v>
      </c>
      <c r="J149" s="68">
        <f t="shared" si="221"/>
        <v>340128.39716599311</v>
      </c>
      <c r="K149" s="68">
        <f t="shared" si="221"/>
        <v>342834.05555836827</v>
      </c>
      <c r="L149" s="68">
        <f t="shared" si="221"/>
        <v>345483.34606756893</v>
      </c>
      <c r="M149" s="68">
        <f t="shared" si="221"/>
        <v>348077.44302449457</v>
      </c>
      <c r="N149" s="68">
        <f t="shared" si="221"/>
        <v>350617.4962948176</v>
      </c>
      <c r="O149" s="68">
        <f t="shared" si="221"/>
        <v>353104.63178867556</v>
      </c>
      <c r="P149" s="68">
        <f t="shared" si="221"/>
        <v>355539.95195974479</v>
      </c>
      <c r="Q149" s="68">
        <f t="shared" si="221"/>
        <v>357924.53629391675</v>
      </c>
      <c r="R149" s="68">
        <f t="shared" si="221"/>
        <v>360259.44178779348</v>
      </c>
      <c r="S149" s="68">
        <f t="shared" si="221"/>
        <v>362545.70341721445</v>
      </c>
      <c r="T149" s="68">
        <f t="shared" si="221"/>
        <v>364784.3345960225</v>
      </c>
      <c r="U149" s="68">
        <f t="shared" si="221"/>
        <v>366976.32762527204</v>
      </c>
      <c r="V149" s="68">
        <f t="shared" si="221"/>
        <v>369122.65413307888</v>
      </c>
      <c r="W149" s="68">
        <f t="shared" si="221"/>
        <v>371224.26550530642</v>
      </c>
      <c r="X149" s="68">
        <f t="shared" si="221"/>
        <v>373282.09330727922</v>
      </c>
      <c r="Y149" s="68">
        <f t="shared" si="221"/>
        <v>375297.04969671089</v>
      </c>
      <c r="Z149" s="68">
        <f t="shared" ref="Z149" si="222">Y156</f>
        <v>377270.02782802942</v>
      </c>
      <c r="AA149" s="68">
        <f t="shared" ref="AA149" si="223">Z156</f>
        <v>379201.90224827878</v>
      </c>
      <c r="AB149" s="68">
        <f t="shared" ref="AB149" si="224">AA156</f>
        <v>381093.52928477299</v>
      </c>
      <c r="AC149" s="68">
        <f t="shared" ref="AC149" si="225">AB156</f>
        <v>382945.74742467352</v>
      </c>
      <c r="AD149" s="68">
        <f t="shared" ref="AD149" si="226">AC156</f>
        <v>384759.37768665951</v>
      </c>
      <c r="AE149" s="68">
        <f t="shared" ref="AE149" si="227">AD156</f>
        <v>386535.22398485412</v>
      </c>
      <c r="AF149" s="68">
        <f t="shared" ref="AF149" si="228">AE156</f>
        <v>388274.07348516968</v>
      </c>
      <c r="AG149" s="68">
        <f t="shared" ref="AG149" si="229">AF156</f>
        <v>389976.69695422862</v>
      </c>
      <c r="AH149" s="68">
        <f t="shared" ref="AH149" si="230">AG156</f>
        <v>391643.84910101554</v>
      </c>
      <c r="AI149" s="68">
        <f t="shared" ref="AI149" si="231">AH156</f>
        <v>393276.26891141105</v>
      </c>
      <c r="AJ149" s="68">
        <f t="shared" ref="AJ149" si="232">AI156</f>
        <v>394874.67997575668</v>
      </c>
      <c r="AK149" s="68">
        <f t="shared" ref="AK149" si="233">AJ156</f>
        <v>396439.79080959508</v>
      </c>
      <c r="AL149" s="68">
        <f t="shared" ref="AL149" si="234">AK156</f>
        <v>397972.2951677285</v>
      </c>
      <c r="AM149" s="68">
        <f t="shared" ref="AM149" si="235">AL156</f>
        <v>399472.87235173414</v>
      </c>
    </row>
    <row r="150" spans="1:39" s="9" customFormat="1" x14ac:dyDescent="0.35">
      <c r="A150" s="72" t="s">
        <v>124</v>
      </c>
      <c r="B150" s="72"/>
      <c r="C150" s="65"/>
      <c r="D150" s="106"/>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row>
    <row r="151" spans="1:39" s="69" customFormat="1" ht="13" x14ac:dyDescent="0.3">
      <c r="A151" s="69" t="str">
        <f>A86</f>
        <v>c. Capex- Start up "Simpler Depreciation for Small Business "</v>
      </c>
      <c r="B151" s="69" t="str">
        <f>B86</f>
        <v xml:space="preserve">$ </v>
      </c>
      <c r="C151" s="65">
        <f>SUM(D151:AM151)</f>
        <v>381000</v>
      </c>
      <c r="D151" s="68">
        <f t="shared" ref="D151:AM151" si="236">D86</f>
        <v>306000</v>
      </c>
      <c r="E151" s="68">
        <f t="shared" si="236"/>
        <v>15000</v>
      </c>
      <c r="F151" s="68">
        <f t="shared" si="236"/>
        <v>15000</v>
      </c>
      <c r="G151" s="68">
        <f t="shared" si="236"/>
        <v>15000</v>
      </c>
      <c r="H151" s="68">
        <f t="shared" si="236"/>
        <v>15000</v>
      </c>
      <c r="I151" s="68">
        <f t="shared" si="236"/>
        <v>15000</v>
      </c>
      <c r="J151" s="68">
        <f t="shared" si="236"/>
        <v>0</v>
      </c>
      <c r="K151" s="68">
        <f t="shared" si="236"/>
        <v>0</v>
      </c>
      <c r="L151" s="68">
        <f t="shared" si="236"/>
        <v>0</v>
      </c>
      <c r="M151" s="68">
        <f t="shared" si="236"/>
        <v>0</v>
      </c>
      <c r="N151" s="68">
        <f t="shared" si="236"/>
        <v>0</v>
      </c>
      <c r="O151" s="68">
        <f t="shared" si="236"/>
        <v>0</v>
      </c>
      <c r="P151" s="68">
        <f t="shared" si="236"/>
        <v>0</v>
      </c>
      <c r="Q151" s="68">
        <f t="shared" si="236"/>
        <v>0</v>
      </c>
      <c r="R151" s="68">
        <f t="shared" si="236"/>
        <v>0</v>
      </c>
      <c r="S151" s="68">
        <f t="shared" si="236"/>
        <v>0</v>
      </c>
      <c r="T151" s="68">
        <f t="shared" si="236"/>
        <v>0</v>
      </c>
      <c r="U151" s="68">
        <f t="shared" si="236"/>
        <v>0</v>
      </c>
      <c r="V151" s="68">
        <f t="shared" si="236"/>
        <v>0</v>
      </c>
      <c r="W151" s="68">
        <f t="shared" si="236"/>
        <v>0</v>
      </c>
      <c r="X151" s="68">
        <f t="shared" si="236"/>
        <v>0</v>
      </c>
      <c r="Y151" s="68">
        <f t="shared" si="236"/>
        <v>0</v>
      </c>
      <c r="Z151" s="68">
        <f t="shared" si="236"/>
        <v>0</v>
      </c>
      <c r="AA151" s="68">
        <f t="shared" si="236"/>
        <v>0</v>
      </c>
      <c r="AB151" s="68">
        <f t="shared" si="236"/>
        <v>0</v>
      </c>
      <c r="AC151" s="68">
        <f t="shared" si="236"/>
        <v>0</v>
      </c>
      <c r="AD151" s="68">
        <f t="shared" si="236"/>
        <v>0</v>
      </c>
      <c r="AE151" s="68">
        <f t="shared" si="236"/>
        <v>0</v>
      </c>
      <c r="AF151" s="68">
        <f t="shared" si="236"/>
        <v>0</v>
      </c>
      <c r="AG151" s="68">
        <f t="shared" si="236"/>
        <v>0</v>
      </c>
      <c r="AH151" s="68">
        <f t="shared" si="236"/>
        <v>0</v>
      </c>
      <c r="AI151" s="68">
        <f t="shared" si="236"/>
        <v>0</v>
      </c>
      <c r="AJ151" s="68">
        <f t="shared" si="236"/>
        <v>0</v>
      </c>
      <c r="AK151" s="68">
        <f t="shared" si="236"/>
        <v>0</v>
      </c>
      <c r="AL151" s="68">
        <f t="shared" si="236"/>
        <v>0</v>
      </c>
      <c r="AM151" s="68">
        <f t="shared" si="236"/>
        <v>0</v>
      </c>
    </row>
    <row r="152" spans="1:39" s="69" customFormat="1" ht="13" x14ac:dyDescent="0.3">
      <c r="A152" s="69" t="str">
        <f>A90</f>
        <v>d. Capex- Ongoing "Simpler Depreciation for Small Business "</v>
      </c>
      <c r="B152" s="69" t="str">
        <f>B90</f>
        <v>$</v>
      </c>
      <c r="C152" s="65">
        <f>SUM(D152:AM152)</f>
        <v>300000</v>
      </c>
      <c r="D152" s="68">
        <f t="shared" ref="D152:AM152" si="237">D90</f>
        <v>0</v>
      </c>
      <c r="E152" s="68">
        <f t="shared" si="237"/>
        <v>0</v>
      </c>
      <c r="F152" s="68">
        <f t="shared" si="237"/>
        <v>0</v>
      </c>
      <c r="G152" s="68">
        <f t="shared" si="237"/>
        <v>0</v>
      </c>
      <c r="H152" s="68">
        <f t="shared" si="237"/>
        <v>0</v>
      </c>
      <c r="I152" s="68">
        <f t="shared" si="237"/>
        <v>0</v>
      </c>
      <c r="J152" s="68">
        <f t="shared" si="237"/>
        <v>10000</v>
      </c>
      <c r="K152" s="68">
        <f t="shared" si="237"/>
        <v>10000</v>
      </c>
      <c r="L152" s="68">
        <f t="shared" si="237"/>
        <v>10000</v>
      </c>
      <c r="M152" s="68">
        <f t="shared" si="237"/>
        <v>10000</v>
      </c>
      <c r="N152" s="68">
        <f t="shared" si="237"/>
        <v>10000</v>
      </c>
      <c r="O152" s="68">
        <f t="shared" si="237"/>
        <v>10000</v>
      </c>
      <c r="P152" s="68">
        <f t="shared" si="237"/>
        <v>10000</v>
      </c>
      <c r="Q152" s="68">
        <f t="shared" si="237"/>
        <v>10000</v>
      </c>
      <c r="R152" s="68">
        <f t="shared" si="237"/>
        <v>10000</v>
      </c>
      <c r="S152" s="68">
        <f t="shared" si="237"/>
        <v>10000</v>
      </c>
      <c r="T152" s="68">
        <f t="shared" si="237"/>
        <v>10000</v>
      </c>
      <c r="U152" s="68">
        <f t="shared" si="237"/>
        <v>10000</v>
      </c>
      <c r="V152" s="68">
        <f t="shared" si="237"/>
        <v>10000</v>
      </c>
      <c r="W152" s="68">
        <f t="shared" si="237"/>
        <v>10000</v>
      </c>
      <c r="X152" s="68">
        <f t="shared" si="237"/>
        <v>10000</v>
      </c>
      <c r="Y152" s="68">
        <f t="shared" si="237"/>
        <v>10000</v>
      </c>
      <c r="Z152" s="68">
        <f t="shared" si="237"/>
        <v>10000</v>
      </c>
      <c r="AA152" s="68">
        <f t="shared" si="237"/>
        <v>10000</v>
      </c>
      <c r="AB152" s="68">
        <f t="shared" si="237"/>
        <v>10000</v>
      </c>
      <c r="AC152" s="68">
        <f t="shared" si="237"/>
        <v>10000</v>
      </c>
      <c r="AD152" s="68">
        <f t="shared" si="237"/>
        <v>10000</v>
      </c>
      <c r="AE152" s="68">
        <f t="shared" si="237"/>
        <v>10000</v>
      </c>
      <c r="AF152" s="68">
        <f t="shared" si="237"/>
        <v>10000</v>
      </c>
      <c r="AG152" s="68">
        <f t="shared" si="237"/>
        <v>10000</v>
      </c>
      <c r="AH152" s="68">
        <f t="shared" si="237"/>
        <v>10000</v>
      </c>
      <c r="AI152" s="68">
        <f t="shared" si="237"/>
        <v>10000</v>
      </c>
      <c r="AJ152" s="68">
        <f t="shared" si="237"/>
        <v>10000</v>
      </c>
      <c r="AK152" s="68">
        <f t="shared" si="237"/>
        <v>10000</v>
      </c>
      <c r="AL152" s="68">
        <f t="shared" si="237"/>
        <v>10000</v>
      </c>
      <c r="AM152" s="68">
        <f t="shared" si="237"/>
        <v>10000</v>
      </c>
    </row>
    <row r="153" spans="1:39" s="69" customFormat="1" ht="13" x14ac:dyDescent="0.3">
      <c r="A153" s="69" t="s">
        <v>51</v>
      </c>
      <c r="B153" s="9" t="s">
        <v>76</v>
      </c>
      <c r="C153" s="68"/>
      <c r="D153" s="107">
        <f>D149+D151+D152</f>
        <v>306000</v>
      </c>
      <c r="E153" s="107">
        <f t="shared" ref="E153:AM153" si="238">E149+E151+E152</f>
        <v>314625</v>
      </c>
      <c r="F153" s="107">
        <f t="shared" si="238"/>
        <v>323070.3125</v>
      </c>
      <c r="G153" s="107">
        <f t="shared" si="238"/>
        <v>331339.68098958331</v>
      </c>
      <c r="H153" s="107">
        <f t="shared" si="238"/>
        <v>339436.770968967</v>
      </c>
      <c r="I153" s="107">
        <f t="shared" si="238"/>
        <v>347365.17157378019</v>
      </c>
      <c r="J153" s="107">
        <f t="shared" si="238"/>
        <v>350128.39716599311</v>
      </c>
      <c r="K153" s="107">
        <f t="shared" si="238"/>
        <v>352834.05555836827</v>
      </c>
      <c r="L153" s="107">
        <f t="shared" si="238"/>
        <v>355483.34606756893</v>
      </c>
      <c r="M153" s="107">
        <f t="shared" si="238"/>
        <v>358077.44302449457</v>
      </c>
      <c r="N153" s="107">
        <f t="shared" si="238"/>
        <v>360617.4962948176</v>
      </c>
      <c r="O153" s="107">
        <f t="shared" si="238"/>
        <v>363104.63178867556</v>
      </c>
      <c r="P153" s="107">
        <f t="shared" si="238"/>
        <v>365539.95195974479</v>
      </c>
      <c r="Q153" s="107">
        <f t="shared" si="238"/>
        <v>367924.53629391675</v>
      </c>
      <c r="R153" s="107">
        <f t="shared" si="238"/>
        <v>370259.44178779348</v>
      </c>
      <c r="S153" s="107">
        <f t="shared" si="238"/>
        <v>372545.70341721445</v>
      </c>
      <c r="T153" s="107">
        <f t="shared" si="238"/>
        <v>374784.3345960225</v>
      </c>
      <c r="U153" s="107">
        <f t="shared" si="238"/>
        <v>376976.32762527204</v>
      </c>
      <c r="V153" s="107">
        <f t="shared" si="238"/>
        <v>379122.65413307888</v>
      </c>
      <c r="W153" s="107">
        <f t="shared" si="238"/>
        <v>381224.26550530642</v>
      </c>
      <c r="X153" s="107">
        <f t="shared" si="238"/>
        <v>383282.09330727922</v>
      </c>
      <c r="Y153" s="107">
        <f t="shared" si="238"/>
        <v>385297.04969671089</v>
      </c>
      <c r="Z153" s="107">
        <f t="shared" si="238"/>
        <v>387270.02782802942</v>
      </c>
      <c r="AA153" s="107">
        <f t="shared" si="238"/>
        <v>389201.90224827878</v>
      </c>
      <c r="AB153" s="107">
        <f t="shared" si="238"/>
        <v>391093.52928477299</v>
      </c>
      <c r="AC153" s="107">
        <f t="shared" si="238"/>
        <v>392945.74742467352</v>
      </c>
      <c r="AD153" s="107">
        <f t="shared" si="238"/>
        <v>394759.37768665951</v>
      </c>
      <c r="AE153" s="107">
        <f t="shared" si="238"/>
        <v>396535.22398485412</v>
      </c>
      <c r="AF153" s="107">
        <f t="shared" si="238"/>
        <v>398274.07348516968</v>
      </c>
      <c r="AG153" s="107">
        <f t="shared" si="238"/>
        <v>399976.69695422862</v>
      </c>
      <c r="AH153" s="107">
        <f t="shared" si="238"/>
        <v>401643.84910101554</v>
      </c>
      <c r="AI153" s="107">
        <f t="shared" si="238"/>
        <v>403276.26891141105</v>
      </c>
      <c r="AJ153" s="107">
        <f t="shared" si="238"/>
        <v>404874.67997575668</v>
      </c>
      <c r="AK153" s="107">
        <f t="shared" si="238"/>
        <v>406439.79080959508</v>
      </c>
      <c r="AL153" s="107">
        <f t="shared" si="238"/>
        <v>407972.2951677285</v>
      </c>
      <c r="AM153" s="107">
        <f t="shared" si="238"/>
        <v>409472.87235173414</v>
      </c>
    </row>
    <row r="154" spans="1:39" s="9" customFormat="1" ht="13" x14ac:dyDescent="0.3">
      <c r="A154" s="104" t="s">
        <v>47</v>
      </c>
      <c r="B154" s="104" t="s">
        <v>39</v>
      </c>
      <c r="C154" s="68"/>
      <c r="D154" s="105">
        <f>25%^1/12</f>
        <v>2.0833333333333332E-2</v>
      </c>
      <c r="E154" s="105">
        <f>D154</f>
        <v>2.0833333333333332E-2</v>
      </c>
      <c r="F154" s="105">
        <f t="shared" ref="F154:Y154" si="239">E154</f>
        <v>2.0833333333333332E-2</v>
      </c>
      <c r="G154" s="105">
        <f t="shared" si="239"/>
        <v>2.0833333333333332E-2</v>
      </c>
      <c r="H154" s="105">
        <f t="shared" si="239"/>
        <v>2.0833333333333332E-2</v>
      </c>
      <c r="I154" s="105">
        <f t="shared" si="239"/>
        <v>2.0833333333333332E-2</v>
      </c>
      <c r="J154" s="105">
        <f t="shared" si="239"/>
        <v>2.0833333333333332E-2</v>
      </c>
      <c r="K154" s="105">
        <f t="shared" si="239"/>
        <v>2.0833333333333332E-2</v>
      </c>
      <c r="L154" s="105">
        <f t="shared" si="239"/>
        <v>2.0833333333333332E-2</v>
      </c>
      <c r="M154" s="105">
        <f t="shared" si="239"/>
        <v>2.0833333333333332E-2</v>
      </c>
      <c r="N154" s="105">
        <f t="shared" si="239"/>
        <v>2.0833333333333332E-2</v>
      </c>
      <c r="O154" s="105">
        <f t="shared" si="239"/>
        <v>2.0833333333333332E-2</v>
      </c>
      <c r="P154" s="105">
        <f t="shared" si="239"/>
        <v>2.0833333333333332E-2</v>
      </c>
      <c r="Q154" s="105">
        <f t="shared" si="239"/>
        <v>2.0833333333333332E-2</v>
      </c>
      <c r="R154" s="105">
        <f t="shared" si="239"/>
        <v>2.0833333333333332E-2</v>
      </c>
      <c r="S154" s="105">
        <f t="shared" si="239"/>
        <v>2.0833333333333332E-2</v>
      </c>
      <c r="T154" s="105">
        <f t="shared" si="239"/>
        <v>2.0833333333333332E-2</v>
      </c>
      <c r="U154" s="105">
        <f t="shared" si="239"/>
        <v>2.0833333333333332E-2</v>
      </c>
      <c r="V154" s="105">
        <f t="shared" si="239"/>
        <v>2.0833333333333332E-2</v>
      </c>
      <c r="W154" s="105">
        <f t="shared" si="239"/>
        <v>2.0833333333333332E-2</v>
      </c>
      <c r="X154" s="105">
        <f t="shared" si="239"/>
        <v>2.0833333333333332E-2</v>
      </c>
      <c r="Y154" s="105">
        <f t="shared" si="239"/>
        <v>2.0833333333333332E-2</v>
      </c>
      <c r="Z154" s="105">
        <f t="shared" ref="Z154" si="240">Y154</f>
        <v>2.0833333333333332E-2</v>
      </c>
      <c r="AA154" s="105">
        <f t="shared" ref="AA154" si="241">Z154</f>
        <v>2.0833333333333332E-2</v>
      </c>
      <c r="AB154" s="105">
        <f t="shared" ref="AB154" si="242">AA154</f>
        <v>2.0833333333333332E-2</v>
      </c>
      <c r="AC154" s="105">
        <f t="shared" ref="AC154" si="243">AB154</f>
        <v>2.0833333333333332E-2</v>
      </c>
      <c r="AD154" s="105">
        <f t="shared" ref="AD154" si="244">AC154</f>
        <v>2.0833333333333332E-2</v>
      </c>
      <c r="AE154" s="105">
        <f t="shared" ref="AE154" si="245">AD154</f>
        <v>2.0833333333333332E-2</v>
      </c>
      <c r="AF154" s="105">
        <f t="shared" ref="AF154" si="246">AE154</f>
        <v>2.0833333333333332E-2</v>
      </c>
      <c r="AG154" s="105">
        <f t="shared" ref="AG154" si="247">AF154</f>
        <v>2.0833333333333332E-2</v>
      </c>
      <c r="AH154" s="105">
        <f t="shared" ref="AH154" si="248">AG154</f>
        <v>2.0833333333333332E-2</v>
      </c>
      <c r="AI154" s="105">
        <f t="shared" ref="AI154" si="249">AH154</f>
        <v>2.0833333333333332E-2</v>
      </c>
      <c r="AJ154" s="105">
        <f t="shared" ref="AJ154" si="250">AI154</f>
        <v>2.0833333333333332E-2</v>
      </c>
      <c r="AK154" s="105">
        <f t="shared" ref="AK154" si="251">AJ154</f>
        <v>2.0833333333333332E-2</v>
      </c>
      <c r="AL154" s="105">
        <f t="shared" ref="AL154" si="252">AK154</f>
        <v>2.0833333333333332E-2</v>
      </c>
      <c r="AM154" s="105">
        <f t="shared" ref="AM154" si="253">AL154</f>
        <v>2.0833333333333332E-2</v>
      </c>
    </row>
    <row r="155" spans="1:39" s="69" customFormat="1" ht="13" x14ac:dyDescent="0.3">
      <c r="A155" s="66" t="s">
        <v>117</v>
      </c>
      <c r="B155" s="9" t="s">
        <v>76</v>
      </c>
      <c r="C155" s="65">
        <f>SUM(D155:AM155)</f>
        <v>280057.81248892698</v>
      </c>
      <c r="D155" s="65">
        <f>D154*D153</f>
        <v>6375</v>
      </c>
      <c r="E155" s="65">
        <f t="shared" ref="E155:Y155" si="254">E154*E153</f>
        <v>6554.6875</v>
      </c>
      <c r="F155" s="65">
        <f t="shared" si="254"/>
        <v>6730.6315104166661</v>
      </c>
      <c r="G155" s="65">
        <f t="shared" si="254"/>
        <v>6902.9100206163184</v>
      </c>
      <c r="H155" s="65">
        <f t="shared" si="254"/>
        <v>7071.5993951868122</v>
      </c>
      <c r="I155" s="65">
        <f t="shared" si="254"/>
        <v>7236.7744077870866</v>
      </c>
      <c r="J155" s="65">
        <f t="shared" si="254"/>
        <v>7294.3416076248559</v>
      </c>
      <c r="K155" s="65">
        <f t="shared" si="254"/>
        <v>7350.7094907993387</v>
      </c>
      <c r="L155" s="65">
        <f t="shared" si="254"/>
        <v>7405.9030430743524</v>
      </c>
      <c r="M155" s="65">
        <f t="shared" si="254"/>
        <v>7459.9467296769699</v>
      </c>
      <c r="N155" s="65">
        <f t="shared" si="254"/>
        <v>7512.864506142033</v>
      </c>
      <c r="O155" s="65">
        <f t="shared" si="254"/>
        <v>7564.6798289307408</v>
      </c>
      <c r="P155" s="65">
        <f t="shared" si="254"/>
        <v>7615.4156658280162</v>
      </c>
      <c r="Q155" s="65">
        <f t="shared" si="254"/>
        <v>7665.0945061232651</v>
      </c>
      <c r="R155" s="65">
        <f t="shared" si="254"/>
        <v>7713.7383705790307</v>
      </c>
      <c r="S155" s="65">
        <f t="shared" si="254"/>
        <v>7761.3688211919671</v>
      </c>
      <c r="T155" s="65">
        <f t="shared" si="254"/>
        <v>7808.0069707504681</v>
      </c>
      <c r="U155" s="65">
        <f t="shared" si="254"/>
        <v>7853.6734921931675</v>
      </c>
      <c r="V155" s="65">
        <f t="shared" si="254"/>
        <v>7898.388627772476</v>
      </c>
      <c r="W155" s="65">
        <f t="shared" si="254"/>
        <v>7942.1721980272168</v>
      </c>
      <c r="X155" s="65">
        <f t="shared" si="254"/>
        <v>7985.0436105683166</v>
      </c>
      <c r="Y155" s="65">
        <f t="shared" si="254"/>
        <v>8027.0218686814769</v>
      </c>
      <c r="Z155" s="65">
        <f t="shared" ref="Z155" si="255">Z154*Z153</f>
        <v>8068.1255797506128</v>
      </c>
      <c r="AA155" s="65">
        <f t="shared" ref="AA155" si="256">AA154*AA153</f>
        <v>8108.372963505808</v>
      </c>
      <c r="AB155" s="65">
        <f t="shared" ref="AB155" si="257">AB154*AB153</f>
        <v>8147.7818600994369</v>
      </c>
      <c r="AC155" s="65">
        <f t="shared" ref="AC155" si="258">AC154*AC153</f>
        <v>8186.3697380140311</v>
      </c>
      <c r="AD155" s="65">
        <f t="shared" ref="AD155" si="259">AD154*AD153</f>
        <v>8224.1537018054059</v>
      </c>
      <c r="AE155" s="65">
        <f t="shared" ref="AE155" si="260">AE154*AE153</f>
        <v>8261.1504996844596</v>
      </c>
      <c r="AF155" s="65">
        <f t="shared" ref="AF155" si="261">AF154*AF153</f>
        <v>8297.3765309410337</v>
      </c>
      <c r="AG155" s="65">
        <f t="shared" ref="AG155" si="262">AG154*AG153</f>
        <v>8332.8478532130957</v>
      </c>
      <c r="AH155" s="65">
        <f t="shared" ref="AH155" si="263">AH154*AH153</f>
        <v>8367.5801896044904</v>
      </c>
      <c r="AI155" s="65">
        <f t="shared" ref="AI155" si="264">AI154*AI153</f>
        <v>8401.5889356543958</v>
      </c>
      <c r="AJ155" s="65">
        <f t="shared" ref="AJ155" si="265">AJ154*AJ153</f>
        <v>8434.8891661615962</v>
      </c>
      <c r="AK155" s="65">
        <f t="shared" ref="AK155" si="266">AK154*AK153</f>
        <v>8467.4956418665643</v>
      </c>
      <c r="AL155" s="65">
        <f t="shared" ref="AL155" si="267">AL154*AL153</f>
        <v>8499.4228159943432</v>
      </c>
      <c r="AM155" s="65">
        <f t="shared" ref="AM155" si="268">AM154*AM153</f>
        <v>8530.684840661128</v>
      </c>
    </row>
    <row r="156" spans="1:39" s="9" customFormat="1" ht="13" x14ac:dyDescent="0.3">
      <c r="A156" s="72" t="s">
        <v>48</v>
      </c>
      <c r="B156" s="72" t="s">
        <v>76</v>
      </c>
      <c r="C156" s="65"/>
      <c r="D156" s="68">
        <f>D153-D155</f>
        <v>299625</v>
      </c>
      <c r="E156" s="68">
        <f t="shared" ref="E156:Y156" si="269">E153-E155</f>
        <v>308070.3125</v>
      </c>
      <c r="F156" s="68">
        <f t="shared" si="269"/>
        <v>316339.68098958331</v>
      </c>
      <c r="G156" s="68">
        <f t="shared" si="269"/>
        <v>324436.770968967</v>
      </c>
      <c r="H156" s="68">
        <f t="shared" si="269"/>
        <v>332365.17157378019</v>
      </c>
      <c r="I156" s="68">
        <f t="shared" si="269"/>
        <v>340128.39716599311</v>
      </c>
      <c r="J156" s="68">
        <f t="shared" si="269"/>
        <v>342834.05555836827</v>
      </c>
      <c r="K156" s="68">
        <f t="shared" si="269"/>
        <v>345483.34606756893</v>
      </c>
      <c r="L156" s="68">
        <f t="shared" si="269"/>
        <v>348077.44302449457</v>
      </c>
      <c r="M156" s="68">
        <f t="shared" si="269"/>
        <v>350617.4962948176</v>
      </c>
      <c r="N156" s="68">
        <f t="shared" si="269"/>
        <v>353104.63178867556</v>
      </c>
      <c r="O156" s="68">
        <f t="shared" si="269"/>
        <v>355539.95195974479</v>
      </c>
      <c r="P156" s="68">
        <f t="shared" si="269"/>
        <v>357924.53629391675</v>
      </c>
      <c r="Q156" s="68">
        <f t="shared" si="269"/>
        <v>360259.44178779348</v>
      </c>
      <c r="R156" s="68">
        <f t="shared" si="269"/>
        <v>362545.70341721445</v>
      </c>
      <c r="S156" s="68">
        <f t="shared" si="269"/>
        <v>364784.3345960225</v>
      </c>
      <c r="T156" s="68">
        <f t="shared" si="269"/>
        <v>366976.32762527204</v>
      </c>
      <c r="U156" s="68">
        <f t="shared" si="269"/>
        <v>369122.65413307888</v>
      </c>
      <c r="V156" s="68">
        <f t="shared" si="269"/>
        <v>371224.26550530642</v>
      </c>
      <c r="W156" s="68">
        <f t="shared" si="269"/>
        <v>373282.09330727922</v>
      </c>
      <c r="X156" s="68">
        <f t="shared" si="269"/>
        <v>375297.04969671089</v>
      </c>
      <c r="Y156" s="68">
        <f t="shared" si="269"/>
        <v>377270.02782802942</v>
      </c>
      <c r="Z156" s="68">
        <f t="shared" ref="Z156" si="270">Z153-Z155</f>
        <v>379201.90224827878</v>
      </c>
      <c r="AA156" s="68">
        <f t="shared" ref="AA156" si="271">AA153-AA155</f>
        <v>381093.52928477299</v>
      </c>
      <c r="AB156" s="68">
        <f t="shared" ref="AB156" si="272">AB153-AB155</f>
        <v>382945.74742467352</v>
      </c>
      <c r="AC156" s="68">
        <f t="shared" ref="AC156" si="273">AC153-AC155</f>
        <v>384759.37768665951</v>
      </c>
      <c r="AD156" s="68">
        <f t="shared" ref="AD156" si="274">AD153-AD155</f>
        <v>386535.22398485412</v>
      </c>
      <c r="AE156" s="68">
        <f t="shared" ref="AE156" si="275">AE153-AE155</f>
        <v>388274.07348516968</v>
      </c>
      <c r="AF156" s="68">
        <f t="shared" ref="AF156" si="276">AF153-AF155</f>
        <v>389976.69695422862</v>
      </c>
      <c r="AG156" s="68">
        <f t="shared" ref="AG156" si="277">AG153-AG155</f>
        <v>391643.84910101554</v>
      </c>
      <c r="AH156" s="68">
        <f t="shared" ref="AH156" si="278">AH153-AH155</f>
        <v>393276.26891141105</v>
      </c>
      <c r="AI156" s="68">
        <f t="shared" ref="AI156" si="279">AI153-AI155</f>
        <v>394874.67997575668</v>
      </c>
      <c r="AJ156" s="68">
        <f t="shared" ref="AJ156" si="280">AJ153-AJ155</f>
        <v>396439.79080959508</v>
      </c>
      <c r="AK156" s="68">
        <f t="shared" ref="AK156" si="281">AK153-AK155</f>
        <v>397972.2951677285</v>
      </c>
      <c r="AL156" s="68">
        <f t="shared" ref="AL156" si="282">AL153-AL155</f>
        <v>399472.87235173414</v>
      </c>
      <c r="AM156" s="68">
        <f t="shared" ref="AM156" si="283">AM153-AM155</f>
        <v>400942.18751107302</v>
      </c>
    </row>
    <row r="157" spans="1:39" s="9" customFormat="1" ht="13" x14ac:dyDescent="0.3">
      <c r="A157" s="72"/>
      <c r="B157" s="72"/>
      <c r="C157" s="65"/>
      <c r="D157" s="68"/>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row>
    <row r="158" spans="1:39" s="69" customFormat="1" ht="13" x14ac:dyDescent="0.3">
      <c r="A158" s="66" t="s">
        <v>118</v>
      </c>
      <c r="B158" s="9" t="s">
        <v>76</v>
      </c>
      <c r="C158" s="65">
        <f>SUM(D158:AM158)</f>
        <v>420146.43263521529</v>
      </c>
      <c r="D158" s="65">
        <f>D143+D155</f>
        <v>6791.666666666667</v>
      </c>
      <c r="E158" s="65">
        <f>E143+E155</f>
        <v>8053.2986111111113</v>
      </c>
      <c r="F158" s="65">
        <f t="shared" ref="F158:Y158" si="284">F143+F155</f>
        <v>8974.2472511574069</v>
      </c>
      <c r="G158" s="65">
        <f t="shared" si="284"/>
        <v>9889.0470422212566</v>
      </c>
      <c r="H158" s="65">
        <f t="shared" si="284"/>
        <v>10797.782626719734</v>
      </c>
      <c r="I158" s="65">
        <f t="shared" si="284"/>
        <v>11617.203695214899</v>
      </c>
      <c r="J158" s="65">
        <f t="shared" si="284"/>
        <v>11660.169464094575</v>
      </c>
      <c r="K158" s="65">
        <f t="shared" si="284"/>
        <v>11701.984587747493</v>
      </c>
      <c r="L158" s="65">
        <f t="shared" si="284"/>
        <v>11742.673889699345</v>
      </c>
      <c r="M158" s="65">
        <f t="shared" si="284"/>
        <v>11782.261673479879</v>
      </c>
      <c r="N158" s="65">
        <f t="shared" si="284"/>
        <v>11820.771733465599</v>
      </c>
      <c r="O158" s="65">
        <f t="shared" si="284"/>
        <v>11858.227365496561</v>
      </c>
      <c r="P158" s="65">
        <f t="shared" si="284"/>
        <v>11894.651377271952</v>
      </c>
      <c r="Q158" s="65">
        <f t="shared" si="284"/>
        <v>11930.066098529052</v>
      </c>
      <c r="R158" s="65">
        <f t="shared" si="284"/>
        <v>11964.493391010132</v>
      </c>
      <c r="S158" s="65">
        <f t="shared" si="284"/>
        <v>11997.954658221632</v>
      </c>
      <c r="T158" s="65">
        <f t="shared" si="284"/>
        <v>12030.470854990035</v>
      </c>
      <c r="U158" s="65">
        <f t="shared" si="284"/>
        <v>12062.062496818602</v>
      </c>
      <c r="V158" s="65">
        <f t="shared" si="284"/>
        <v>12092.749669049159</v>
      </c>
      <c r="W158" s="65">
        <f t="shared" si="284"/>
        <v>12122.552035832978</v>
      </c>
      <c r="X158" s="65">
        <f t="shared" si="284"/>
        <v>12151.488848914723</v>
      </c>
      <c r="Y158" s="65">
        <f t="shared" si="284"/>
        <v>12179.578956233396</v>
      </c>
      <c r="Z158" s="65">
        <f t="shared" ref="Z158:AM158" si="285">Z143+Z155</f>
        <v>12206.840810344027</v>
      </c>
      <c r="AA158" s="65">
        <f t="shared" si="285"/>
        <v>12233.29247666391</v>
      </c>
      <c r="AB158" s="65">
        <f t="shared" si="285"/>
        <v>12258.951641547012</v>
      </c>
      <c r="AC158" s="65">
        <f t="shared" si="285"/>
        <v>12283.835620190115</v>
      </c>
      <c r="AD158" s="65">
        <f t="shared" si="285"/>
        <v>12307.961364374234</v>
      </c>
      <c r="AE158" s="65">
        <f t="shared" si="285"/>
        <v>12331.345470044726</v>
      </c>
      <c r="AF158" s="65">
        <f t="shared" si="285"/>
        <v>12354.004184733432</v>
      </c>
      <c r="AG158" s="65">
        <f t="shared" si="285"/>
        <v>12375.953414826186</v>
      </c>
      <c r="AH158" s="65">
        <f t="shared" si="285"/>
        <v>12397.208732678871</v>
      </c>
      <c r="AI158" s="65">
        <f t="shared" si="285"/>
        <v>12417.785383585195</v>
      </c>
      <c r="AJ158" s="65">
        <f t="shared" si="285"/>
        <v>12437.698292599292</v>
      </c>
      <c r="AK158" s="65">
        <f t="shared" si="285"/>
        <v>12456.962071216134</v>
      </c>
      <c r="AL158" s="65">
        <f t="shared" si="285"/>
        <v>12475.591023912748</v>
      </c>
      <c r="AM158" s="65">
        <f t="shared" si="285"/>
        <v>12493.59915455314</v>
      </c>
    </row>
    <row r="159" spans="1:39" s="9" customFormat="1" ht="41.5" customHeight="1" x14ac:dyDescent="0.3">
      <c r="A159" s="10"/>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row>
    <row r="160" spans="1:39" s="9" customFormat="1" ht="14.5" x14ac:dyDescent="0.35">
      <c r="A160" s="64" t="s">
        <v>121</v>
      </c>
      <c r="C160" s="11"/>
      <c r="D160" s="11"/>
      <c r="E160" s="11"/>
      <c r="F160" s="11"/>
      <c r="G160" s="11"/>
      <c r="H160" s="11"/>
      <c r="I160" s="11"/>
      <c r="J160" s="11"/>
      <c r="K160" s="11"/>
      <c r="L160" s="11"/>
      <c r="M160" s="11"/>
    </row>
    <row r="161" spans="1:39" s="88" customFormat="1" ht="16.5" customHeight="1" x14ac:dyDescent="0.35">
      <c r="A161" s="87" t="str">
        <f t="shared" ref="A161:AM161" si="286">A$56</f>
        <v>Months --&gt;</v>
      </c>
      <c r="B161" s="88" t="str">
        <f t="shared" si="286"/>
        <v>Units</v>
      </c>
      <c r="C161" s="87" t="str">
        <f t="shared" si="286"/>
        <v>Total</v>
      </c>
      <c r="D161" s="87">
        <f t="shared" si="286"/>
        <v>46388</v>
      </c>
      <c r="E161" s="87">
        <f t="shared" si="286"/>
        <v>46419</v>
      </c>
      <c r="F161" s="87">
        <f t="shared" si="286"/>
        <v>46447</v>
      </c>
      <c r="G161" s="87">
        <f t="shared" si="286"/>
        <v>46478</v>
      </c>
      <c r="H161" s="87">
        <f t="shared" si="286"/>
        <v>46508</v>
      </c>
      <c r="I161" s="87">
        <f t="shared" si="286"/>
        <v>46539</v>
      </c>
      <c r="J161" s="87">
        <f t="shared" si="286"/>
        <v>46569</v>
      </c>
      <c r="K161" s="87">
        <f t="shared" si="286"/>
        <v>46600</v>
      </c>
      <c r="L161" s="87">
        <f t="shared" si="286"/>
        <v>46631</v>
      </c>
      <c r="M161" s="87">
        <f t="shared" si="286"/>
        <v>46661</v>
      </c>
      <c r="N161" s="87">
        <f t="shared" si="286"/>
        <v>46692</v>
      </c>
      <c r="O161" s="87">
        <f t="shared" si="286"/>
        <v>46722</v>
      </c>
      <c r="P161" s="87">
        <f t="shared" si="286"/>
        <v>46753</v>
      </c>
      <c r="Q161" s="87">
        <f t="shared" si="286"/>
        <v>46784</v>
      </c>
      <c r="R161" s="87">
        <f t="shared" si="286"/>
        <v>46813</v>
      </c>
      <c r="S161" s="87">
        <f t="shared" si="286"/>
        <v>46844</v>
      </c>
      <c r="T161" s="87">
        <f t="shared" si="286"/>
        <v>46874</v>
      </c>
      <c r="U161" s="87">
        <f t="shared" si="286"/>
        <v>46905</v>
      </c>
      <c r="V161" s="87">
        <f t="shared" si="286"/>
        <v>46935</v>
      </c>
      <c r="W161" s="87">
        <f t="shared" si="286"/>
        <v>46966</v>
      </c>
      <c r="X161" s="87">
        <f t="shared" si="286"/>
        <v>46997</v>
      </c>
      <c r="Y161" s="87">
        <f t="shared" si="286"/>
        <v>47027</v>
      </c>
      <c r="Z161" s="87">
        <f t="shared" si="286"/>
        <v>47058</v>
      </c>
      <c r="AA161" s="87">
        <f t="shared" si="286"/>
        <v>47088</v>
      </c>
      <c r="AB161" s="87">
        <f t="shared" si="286"/>
        <v>47119</v>
      </c>
      <c r="AC161" s="87">
        <f t="shared" si="286"/>
        <v>47150</v>
      </c>
      <c r="AD161" s="87">
        <f t="shared" si="286"/>
        <v>47178</v>
      </c>
      <c r="AE161" s="87">
        <f t="shared" si="286"/>
        <v>47209</v>
      </c>
      <c r="AF161" s="87">
        <f t="shared" si="286"/>
        <v>47239</v>
      </c>
      <c r="AG161" s="87">
        <f t="shared" si="286"/>
        <v>47270</v>
      </c>
      <c r="AH161" s="87">
        <f t="shared" si="286"/>
        <v>47300</v>
      </c>
      <c r="AI161" s="87">
        <f t="shared" si="286"/>
        <v>47331</v>
      </c>
      <c r="AJ161" s="87">
        <f t="shared" si="286"/>
        <v>47362</v>
      </c>
      <c r="AK161" s="87">
        <f t="shared" si="286"/>
        <v>47392</v>
      </c>
      <c r="AL161" s="87">
        <f t="shared" si="286"/>
        <v>47423</v>
      </c>
      <c r="AM161" s="87">
        <f t="shared" si="286"/>
        <v>47453</v>
      </c>
    </row>
    <row r="162" spans="1:39" s="69" customFormat="1" ht="13" x14ac:dyDescent="0.3">
      <c r="A162" s="69" t="str">
        <f>A$60</f>
        <v>campsites sold per night - average</v>
      </c>
      <c r="B162" s="69" t="str">
        <f>B$60</f>
        <v>campsites</v>
      </c>
      <c r="C162" s="68">
        <f>SUM(D162:AM162)</f>
        <v>1550</v>
      </c>
      <c r="D162" s="68">
        <f t="shared" ref="D162:AM162" si="287">D$60</f>
        <v>0</v>
      </c>
      <c r="E162" s="68">
        <f t="shared" si="287"/>
        <v>0</v>
      </c>
      <c r="F162" s="68">
        <f t="shared" si="287"/>
        <v>0</v>
      </c>
      <c r="G162" s="68">
        <f t="shared" si="287"/>
        <v>0</v>
      </c>
      <c r="H162" s="68">
        <f t="shared" si="287"/>
        <v>0</v>
      </c>
      <c r="I162" s="68">
        <f t="shared" si="287"/>
        <v>0</v>
      </c>
      <c r="J162" s="68">
        <f t="shared" si="287"/>
        <v>10</v>
      </c>
      <c r="K162" s="68">
        <f t="shared" si="287"/>
        <v>40</v>
      </c>
      <c r="L162" s="68">
        <f t="shared" si="287"/>
        <v>100</v>
      </c>
      <c r="M162" s="68">
        <f t="shared" si="287"/>
        <v>80</v>
      </c>
      <c r="N162" s="68">
        <f t="shared" si="287"/>
        <v>40</v>
      </c>
      <c r="O162" s="68">
        <f t="shared" si="287"/>
        <v>0</v>
      </c>
      <c r="P162" s="68">
        <f t="shared" si="287"/>
        <v>0</v>
      </c>
      <c r="Q162" s="68">
        <f t="shared" si="287"/>
        <v>0</v>
      </c>
      <c r="R162" s="68">
        <f t="shared" si="287"/>
        <v>20</v>
      </c>
      <c r="S162" s="68">
        <f t="shared" si="287"/>
        <v>60</v>
      </c>
      <c r="T162" s="68">
        <f t="shared" si="287"/>
        <v>100</v>
      </c>
      <c r="U162" s="68">
        <f t="shared" si="287"/>
        <v>120</v>
      </c>
      <c r="V162" s="68">
        <f t="shared" si="287"/>
        <v>120</v>
      </c>
      <c r="W162" s="68">
        <f t="shared" si="287"/>
        <v>100</v>
      </c>
      <c r="X162" s="68">
        <f t="shared" si="287"/>
        <v>60</v>
      </c>
      <c r="Y162" s="68">
        <f t="shared" si="287"/>
        <v>40</v>
      </c>
      <c r="Z162" s="68">
        <f t="shared" si="287"/>
        <v>20</v>
      </c>
      <c r="AA162" s="68">
        <f t="shared" si="287"/>
        <v>0</v>
      </c>
      <c r="AB162" s="68">
        <f t="shared" si="287"/>
        <v>0</v>
      </c>
      <c r="AC162" s="68">
        <f t="shared" si="287"/>
        <v>0</v>
      </c>
      <c r="AD162" s="68">
        <f t="shared" si="287"/>
        <v>20</v>
      </c>
      <c r="AE162" s="68">
        <f t="shared" si="287"/>
        <v>60</v>
      </c>
      <c r="AF162" s="68">
        <f t="shared" si="287"/>
        <v>100</v>
      </c>
      <c r="AG162" s="68">
        <f t="shared" si="287"/>
        <v>120</v>
      </c>
      <c r="AH162" s="68">
        <f t="shared" si="287"/>
        <v>120</v>
      </c>
      <c r="AI162" s="68">
        <f t="shared" si="287"/>
        <v>100</v>
      </c>
      <c r="AJ162" s="68">
        <f t="shared" si="287"/>
        <v>60</v>
      </c>
      <c r="AK162" s="68">
        <f t="shared" si="287"/>
        <v>40</v>
      </c>
      <c r="AL162" s="68">
        <f t="shared" si="287"/>
        <v>20</v>
      </c>
      <c r="AM162" s="68">
        <f t="shared" si="287"/>
        <v>0</v>
      </c>
    </row>
    <row r="163" spans="1:39" s="69" customFormat="1" ht="13" x14ac:dyDescent="0.3">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row>
    <row r="164" spans="1:39" s="9" customFormat="1" ht="13" x14ac:dyDescent="0.3">
      <c r="A164" s="33" t="s">
        <v>126</v>
      </c>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s="9" customFormat="1" ht="13" x14ac:dyDescent="0.3">
      <c r="A165" s="70" t="s">
        <v>27</v>
      </c>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row>
    <row r="166" spans="1:39" s="69" customFormat="1" ht="13" x14ac:dyDescent="0.3">
      <c r="A166" s="69" t="str">
        <f>A63</f>
        <v>Cashstream 1: Revenue</v>
      </c>
      <c r="B166" s="69" t="str">
        <f>B63</f>
        <v>$</v>
      </c>
      <c r="C166" s="68">
        <f>SUM(D166:AM166)</f>
        <v>3782000</v>
      </c>
      <c r="D166" s="68">
        <f t="shared" ref="D166:AM166" si="288">D63</f>
        <v>0</v>
      </c>
      <c r="E166" s="68">
        <f t="shared" si="288"/>
        <v>0</v>
      </c>
      <c r="F166" s="68">
        <f t="shared" si="288"/>
        <v>0</v>
      </c>
      <c r="G166" s="68">
        <f t="shared" si="288"/>
        <v>0</v>
      </c>
      <c r="H166" s="68">
        <f t="shared" si="288"/>
        <v>0</v>
      </c>
      <c r="I166" s="68">
        <f t="shared" si="288"/>
        <v>0</v>
      </c>
      <c r="J166" s="68">
        <f t="shared" si="288"/>
        <v>24400</v>
      </c>
      <c r="K166" s="68">
        <f t="shared" si="288"/>
        <v>97600</v>
      </c>
      <c r="L166" s="68">
        <f t="shared" si="288"/>
        <v>244000</v>
      </c>
      <c r="M166" s="68">
        <f t="shared" si="288"/>
        <v>195200</v>
      </c>
      <c r="N166" s="68">
        <f t="shared" si="288"/>
        <v>97600</v>
      </c>
      <c r="O166" s="68">
        <f t="shared" si="288"/>
        <v>0</v>
      </c>
      <c r="P166" s="68">
        <f t="shared" si="288"/>
        <v>0</v>
      </c>
      <c r="Q166" s="68">
        <f t="shared" si="288"/>
        <v>0</v>
      </c>
      <c r="R166" s="68">
        <f t="shared" si="288"/>
        <v>48800</v>
      </c>
      <c r="S166" s="68">
        <f t="shared" si="288"/>
        <v>146400</v>
      </c>
      <c r="T166" s="68">
        <f t="shared" si="288"/>
        <v>244000</v>
      </c>
      <c r="U166" s="68">
        <f t="shared" si="288"/>
        <v>292800</v>
      </c>
      <c r="V166" s="68">
        <f t="shared" si="288"/>
        <v>292800</v>
      </c>
      <c r="W166" s="68">
        <f t="shared" si="288"/>
        <v>244000</v>
      </c>
      <c r="X166" s="68">
        <f t="shared" si="288"/>
        <v>146400</v>
      </c>
      <c r="Y166" s="68">
        <f t="shared" si="288"/>
        <v>97600</v>
      </c>
      <c r="Z166" s="68">
        <f t="shared" si="288"/>
        <v>48800</v>
      </c>
      <c r="AA166" s="68">
        <f t="shared" si="288"/>
        <v>0</v>
      </c>
      <c r="AB166" s="68">
        <f t="shared" si="288"/>
        <v>0</v>
      </c>
      <c r="AC166" s="68">
        <f t="shared" si="288"/>
        <v>0</v>
      </c>
      <c r="AD166" s="68">
        <f t="shared" si="288"/>
        <v>48800</v>
      </c>
      <c r="AE166" s="68">
        <f t="shared" si="288"/>
        <v>146400</v>
      </c>
      <c r="AF166" s="68">
        <f t="shared" si="288"/>
        <v>244000</v>
      </c>
      <c r="AG166" s="68">
        <f t="shared" si="288"/>
        <v>292800</v>
      </c>
      <c r="AH166" s="68">
        <f t="shared" si="288"/>
        <v>292800</v>
      </c>
      <c r="AI166" s="68">
        <f t="shared" si="288"/>
        <v>244000</v>
      </c>
      <c r="AJ166" s="68">
        <f t="shared" si="288"/>
        <v>146400</v>
      </c>
      <c r="AK166" s="68">
        <f t="shared" si="288"/>
        <v>97600</v>
      </c>
      <c r="AL166" s="68">
        <f t="shared" si="288"/>
        <v>48800</v>
      </c>
      <c r="AM166" s="68">
        <f t="shared" si="288"/>
        <v>0</v>
      </c>
    </row>
    <row r="167" spans="1:39" s="69" customFormat="1" ht="14.25" customHeight="1" x14ac:dyDescent="0.3">
      <c r="A167" s="69" t="s">
        <v>12</v>
      </c>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row>
    <row r="168" spans="1:39" s="69" customFormat="1" ht="13" x14ac:dyDescent="0.3">
      <c r="A168" s="69" t="str">
        <f>A117</f>
        <v>Cashstream 3: Operating Costs</v>
      </c>
      <c r="B168" s="69" t="str">
        <f>B117</f>
        <v>$</v>
      </c>
      <c r="C168" s="78">
        <f>SUM(D168:AM168)</f>
        <v>1620000</v>
      </c>
      <c r="D168" s="78">
        <f t="shared" ref="D168:AM168" si="289">D117</f>
        <v>0</v>
      </c>
      <c r="E168" s="78">
        <f t="shared" si="289"/>
        <v>0</v>
      </c>
      <c r="F168" s="78">
        <f t="shared" si="289"/>
        <v>0</v>
      </c>
      <c r="G168" s="78">
        <f t="shared" si="289"/>
        <v>0</v>
      </c>
      <c r="H168" s="78">
        <f t="shared" si="289"/>
        <v>0</v>
      </c>
      <c r="I168" s="78">
        <f t="shared" si="289"/>
        <v>0</v>
      </c>
      <c r="J168" s="78">
        <f t="shared" si="289"/>
        <v>63000</v>
      </c>
      <c r="K168" s="78">
        <f t="shared" si="289"/>
        <v>63000</v>
      </c>
      <c r="L168" s="78">
        <f t="shared" si="289"/>
        <v>63000</v>
      </c>
      <c r="M168" s="78">
        <f t="shared" si="289"/>
        <v>63000</v>
      </c>
      <c r="N168" s="78">
        <f t="shared" si="289"/>
        <v>63000</v>
      </c>
      <c r="O168" s="78">
        <f t="shared" si="289"/>
        <v>18000</v>
      </c>
      <c r="P168" s="78">
        <f t="shared" si="289"/>
        <v>18000</v>
      </c>
      <c r="Q168" s="78">
        <f t="shared" si="289"/>
        <v>18000</v>
      </c>
      <c r="R168" s="78">
        <f t="shared" si="289"/>
        <v>63000</v>
      </c>
      <c r="S168" s="78">
        <f t="shared" si="289"/>
        <v>63000</v>
      </c>
      <c r="T168" s="78">
        <f t="shared" si="289"/>
        <v>63000</v>
      </c>
      <c r="U168" s="78">
        <f t="shared" si="289"/>
        <v>63000</v>
      </c>
      <c r="V168" s="78">
        <f t="shared" si="289"/>
        <v>63000</v>
      </c>
      <c r="W168" s="78">
        <f t="shared" si="289"/>
        <v>63000</v>
      </c>
      <c r="X168" s="78">
        <f t="shared" si="289"/>
        <v>63000</v>
      </c>
      <c r="Y168" s="78">
        <f t="shared" si="289"/>
        <v>63000</v>
      </c>
      <c r="Z168" s="78">
        <f t="shared" si="289"/>
        <v>63000</v>
      </c>
      <c r="AA168" s="78">
        <f t="shared" si="289"/>
        <v>18000</v>
      </c>
      <c r="AB168" s="78">
        <f t="shared" si="289"/>
        <v>18000</v>
      </c>
      <c r="AC168" s="78">
        <f t="shared" si="289"/>
        <v>18000</v>
      </c>
      <c r="AD168" s="78">
        <f t="shared" si="289"/>
        <v>63000</v>
      </c>
      <c r="AE168" s="78">
        <f t="shared" si="289"/>
        <v>63000</v>
      </c>
      <c r="AF168" s="78">
        <f t="shared" si="289"/>
        <v>63000</v>
      </c>
      <c r="AG168" s="78">
        <f t="shared" si="289"/>
        <v>63000</v>
      </c>
      <c r="AH168" s="78">
        <f t="shared" si="289"/>
        <v>63000</v>
      </c>
      <c r="AI168" s="78">
        <f t="shared" si="289"/>
        <v>63000</v>
      </c>
      <c r="AJ168" s="78">
        <f t="shared" si="289"/>
        <v>63000</v>
      </c>
      <c r="AK168" s="78">
        <f t="shared" si="289"/>
        <v>63000</v>
      </c>
      <c r="AL168" s="78">
        <f t="shared" si="289"/>
        <v>63000</v>
      </c>
      <c r="AM168" s="78">
        <f t="shared" si="289"/>
        <v>63000</v>
      </c>
    </row>
    <row r="169" spans="1:39" s="69" customFormat="1" ht="13" x14ac:dyDescent="0.3">
      <c r="A169" s="69" t="str">
        <f>A158</f>
        <v>tax deductions for capital expenditure - available</v>
      </c>
      <c r="B169" s="69" t="str">
        <f>B158</f>
        <v>$</v>
      </c>
      <c r="C169" s="78">
        <f>SUM(D169:AM169)</f>
        <v>420146.43263521529</v>
      </c>
      <c r="D169" s="78">
        <f t="shared" ref="D169:AM169" si="290">D158</f>
        <v>6791.666666666667</v>
      </c>
      <c r="E169" s="78">
        <f t="shared" si="290"/>
        <v>8053.2986111111113</v>
      </c>
      <c r="F169" s="78">
        <f t="shared" si="290"/>
        <v>8974.2472511574069</v>
      </c>
      <c r="G169" s="78">
        <f t="shared" si="290"/>
        <v>9889.0470422212566</v>
      </c>
      <c r="H169" s="78">
        <f t="shared" si="290"/>
        <v>10797.782626719734</v>
      </c>
      <c r="I169" s="78">
        <f t="shared" si="290"/>
        <v>11617.203695214899</v>
      </c>
      <c r="J169" s="78">
        <f t="shared" si="290"/>
        <v>11660.169464094575</v>
      </c>
      <c r="K169" s="78">
        <f t="shared" si="290"/>
        <v>11701.984587747493</v>
      </c>
      <c r="L169" s="78">
        <f t="shared" si="290"/>
        <v>11742.673889699345</v>
      </c>
      <c r="M169" s="78">
        <f t="shared" si="290"/>
        <v>11782.261673479879</v>
      </c>
      <c r="N169" s="78">
        <f t="shared" si="290"/>
        <v>11820.771733465599</v>
      </c>
      <c r="O169" s="78">
        <f t="shared" si="290"/>
        <v>11858.227365496561</v>
      </c>
      <c r="P169" s="78">
        <f t="shared" si="290"/>
        <v>11894.651377271952</v>
      </c>
      <c r="Q169" s="78">
        <f t="shared" si="290"/>
        <v>11930.066098529052</v>
      </c>
      <c r="R169" s="78">
        <f t="shared" si="290"/>
        <v>11964.493391010132</v>
      </c>
      <c r="S169" s="78">
        <f t="shared" si="290"/>
        <v>11997.954658221632</v>
      </c>
      <c r="T169" s="78">
        <f t="shared" si="290"/>
        <v>12030.470854990035</v>
      </c>
      <c r="U169" s="78">
        <f t="shared" si="290"/>
        <v>12062.062496818602</v>
      </c>
      <c r="V169" s="78">
        <f t="shared" si="290"/>
        <v>12092.749669049159</v>
      </c>
      <c r="W169" s="78">
        <f t="shared" si="290"/>
        <v>12122.552035832978</v>
      </c>
      <c r="X169" s="78">
        <f t="shared" si="290"/>
        <v>12151.488848914723</v>
      </c>
      <c r="Y169" s="78">
        <f t="shared" si="290"/>
        <v>12179.578956233396</v>
      </c>
      <c r="Z169" s="78">
        <f t="shared" si="290"/>
        <v>12206.840810344027</v>
      </c>
      <c r="AA169" s="78">
        <f t="shared" si="290"/>
        <v>12233.29247666391</v>
      </c>
      <c r="AB169" s="78">
        <f t="shared" si="290"/>
        <v>12258.951641547012</v>
      </c>
      <c r="AC169" s="78">
        <f t="shared" si="290"/>
        <v>12283.835620190115</v>
      </c>
      <c r="AD169" s="78">
        <f t="shared" si="290"/>
        <v>12307.961364374234</v>
      </c>
      <c r="AE169" s="78">
        <f t="shared" si="290"/>
        <v>12331.345470044726</v>
      </c>
      <c r="AF169" s="78">
        <f t="shared" si="290"/>
        <v>12354.004184733432</v>
      </c>
      <c r="AG169" s="78">
        <f t="shared" si="290"/>
        <v>12375.953414826186</v>
      </c>
      <c r="AH169" s="78">
        <f t="shared" si="290"/>
        <v>12397.208732678871</v>
      </c>
      <c r="AI169" s="78">
        <f t="shared" si="290"/>
        <v>12417.785383585195</v>
      </c>
      <c r="AJ169" s="78">
        <f t="shared" si="290"/>
        <v>12437.698292599292</v>
      </c>
      <c r="AK169" s="78">
        <f t="shared" si="290"/>
        <v>12456.962071216134</v>
      </c>
      <c r="AL169" s="78">
        <f t="shared" si="290"/>
        <v>12475.591023912748</v>
      </c>
      <c r="AM169" s="78">
        <f t="shared" si="290"/>
        <v>12493.59915455314</v>
      </c>
    </row>
    <row r="170" spans="1:39" s="69" customFormat="1" ht="13" x14ac:dyDescent="0.3">
      <c r="A170" s="69" t="s">
        <v>27</v>
      </c>
      <c r="B170" s="69" t="s">
        <v>76</v>
      </c>
      <c r="C170" s="78">
        <f>SUM(D170:AM170)</f>
        <v>1741853.5673647847</v>
      </c>
      <c r="D170" s="79">
        <f>D166-SUM(D168:D169)</f>
        <v>-6791.666666666667</v>
      </c>
      <c r="E170" s="79">
        <f>E166-SUM(E168:E169)</f>
        <v>-8053.2986111111113</v>
      </c>
      <c r="F170" s="79">
        <f t="shared" ref="F170:Y170" si="291">F166-SUM(F168:F169)</f>
        <v>-8974.2472511574069</v>
      </c>
      <c r="G170" s="79">
        <f t="shared" si="291"/>
        <v>-9889.0470422212566</v>
      </c>
      <c r="H170" s="79">
        <f t="shared" si="291"/>
        <v>-10797.782626719734</v>
      </c>
      <c r="I170" s="79">
        <f t="shared" si="291"/>
        <v>-11617.203695214899</v>
      </c>
      <c r="J170" s="79">
        <f t="shared" si="291"/>
        <v>-50260.169464094579</v>
      </c>
      <c r="K170" s="79">
        <f t="shared" si="291"/>
        <v>22898.015412252513</v>
      </c>
      <c r="L170" s="79">
        <f t="shared" si="291"/>
        <v>169257.32611030067</v>
      </c>
      <c r="M170" s="79">
        <f t="shared" si="291"/>
        <v>120417.73832652012</v>
      </c>
      <c r="N170" s="79">
        <f t="shared" si="291"/>
        <v>22779.228266534396</v>
      </c>
      <c r="O170" s="79">
        <f t="shared" si="291"/>
        <v>-29858.227365496561</v>
      </c>
      <c r="P170" s="79">
        <f t="shared" si="291"/>
        <v>-29894.651377271952</v>
      </c>
      <c r="Q170" s="79">
        <f t="shared" si="291"/>
        <v>-29930.066098529052</v>
      </c>
      <c r="R170" s="79">
        <f t="shared" si="291"/>
        <v>-26164.493391010124</v>
      </c>
      <c r="S170" s="79">
        <f t="shared" si="291"/>
        <v>71402.045341778372</v>
      </c>
      <c r="T170" s="79">
        <f t="shared" si="291"/>
        <v>168969.52914500996</v>
      </c>
      <c r="U170" s="79">
        <f t="shared" si="291"/>
        <v>217737.9375031814</v>
      </c>
      <c r="V170" s="79">
        <f t="shared" si="291"/>
        <v>217707.25033095083</v>
      </c>
      <c r="W170" s="79">
        <f t="shared" si="291"/>
        <v>168877.44796416702</v>
      </c>
      <c r="X170" s="79">
        <f t="shared" si="291"/>
        <v>71248.511151085273</v>
      </c>
      <c r="Y170" s="79">
        <f t="shared" si="291"/>
        <v>22420.421043766604</v>
      </c>
      <c r="Z170" s="79">
        <f t="shared" ref="Z170:AM170" si="292">Z166-SUM(Z168:Z169)</f>
        <v>-26406.840810344031</v>
      </c>
      <c r="AA170" s="79">
        <f t="shared" si="292"/>
        <v>-30233.292476663912</v>
      </c>
      <c r="AB170" s="79">
        <f t="shared" si="292"/>
        <v>-30258.951641547013</v>
      </c>
      <c r="AC170" s="79">
        <f t="shared" si="292"/>
        <v>-30283.835620190115</v>
      </c>
      <c r="AD170" s="79">
        <f t="shared" si="292"/>
        <v>-26507.961364374234</v>
      </c>
      <c r="AE170" s="79">
        <f t="shared" si="292"/>
        <v>71068.654529955267</v>
      </c>
      <c r="AF170" s="79">
        <f t="shared" si="292"/>
        <v>168645.99581526656</v>
      </c>
      <c r="AG170" s="79">
        <f t="shared" si="292"/>
        <v>217424.04658517381</v>
      </c>
      <c r="AH170" s="79">
        <f t="shared" si="292"/>
        <v>217402.79126732112</v>
      </c>
      <c r="AI170" s="79">
        <f t="shared" si="292"/>
        <v>168582.2146164148</v>
      </c>
      <c r="AJ170" s="79">
        <f t="shared" si="292"/>
        <v>70962.301707400708</v>
      </c>
      <c r="AK170" s="79">
        <f t="shared" si="292"/>
        <v>22143.037928783859</v>
      </c>
      <c r="AL170" s="79">
        <f t="shared" si="292"/>
        <v>-26675.591023912741</v>
      </c>
      <c r="AM170" s="79">
        <f t="shared" si="292"/>
        <v>-75493.599154553143</v>
      </c>
    </row>
    <row r="171" spans="1:39" s="9" customFormat="1" ht="13" x14ac:dyDescent="0.3">
      <c r="A171" s="70" t="s">
        <v>52</v>
      </c>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spans="1:39" s="69" customFormat="1" ht="13.5" thickBot="1" x14ac:dyDescent="0.35">
      <c r="A172" s="33" t="s">
        <v>127</v>
      </c>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row>
    <row r="173" spans="1:39" s="69" customFormat="1" ht="13.5" thickBot="1" x14ac:dyDescent="0.35">
      <c r="A173" s="69" t="s">
        <v>37</v>
      </c>
      <c r="B173" s="69" t="s">
        <v>76</v>
      </c>
      <c r="C173" s="78"/>
      <c r="D173" s="109">
        <v>0</v>
      </c>
      <c r="E173" s="78">
        <f>D178</f>
        <v>-6791.666666666667</v>
      </c>
      <c r="F173" s="78">
        <f t="shared" ref="F173:Y173" si="293">E178</f>
        <v>-14844.965277777777</v>
      </c>
      <c r="G173" s="78">
        <f t="shared" si="293"/>
        <v>-23819.212528935182</v>
      </c>
      <c r="H173" s="78">
        <f t="shared" si="293"/>
        <v>-33708.259571156435</v>
      </c>
      <c r="I173" s="78">
        <f t="shared" si="293"/>
        <v>-44506.042197876173</v>
      </c>
      <c r="J173" s="78">
        <f t="shared" si="293"/>
        <v>-56123.245893091073</v>
      </c>
      <c r="K173" s="78">
        <f t="shared" si="293"/>
        <v>-106383.41535718564</v>
      </c>
      <c r="L173" s="78">
        <f t="shared" si="293"/>
        <v>-83485.399944933131</v>
      </c>
      <c r="M173" s="78">
        <f t="shared" si="293"/>
        <v>0</v>
      </c>
      <c r="N173" s="78">
        <f t="shared" si="293"/>
        <v>0</v>
      </c>
      <c r="O173" s="78">
        <f t="shared" si="293"/>
        <v>0</v>
      </c>
      <c r="P173" s="78">
        <f t="shared" si="293"/>
        <v>-29858.227365496561</v>
      </c>
      <c r="Q173" s="78">
        <f t="shared" si="293"/>
        <v>-59752.878742768517</v>
      </c>
      <c r="R173" s="78">
        <f t="shared" si="293"/>
        <v>-89682.944841297576</v>
      </c>
      <c r="S173" s="78">
        <f t="shared" si="293"/>
        <v>-115847.4382323077</v>
      </c>
      <c r="T173" s="78">
        <f t="shared" si="293"/>
        <v>-44445.392890529329</v>
      </c>
      <c r="U173" s="78">
        <f t="shared" si="293"/>
        <v>0</v>
      </c>
      <c r="V173" s="78">
        <f t="shared" si="293"/>
        <v>0</v>
      </c>
      <c r="W173" s="78">
        <f t="shared" si="293"/>
        <v>0</v>
      </c>
      <c r="X173" s="78">
        <f t="shared" si="293"/>
        <v>0</v>
      </c>
      <c r="Y173" s="78">
        <f t="shared" si="293"/>
        <v>0</v>
      </c>
      <c r="Z173" s="78">
        <f t="shared" ref="Z173" si="294">Y178</f>
        <v>0</v>
      </c>
      <c r="AA173" s="78">
        <f t="shared" ref="AA173" si="295">Z178</f>
        <v>-26406.840810344031</v>
      </c>
      <c r="AB173" s="78">
        <f t="shared" ref="AB173" si="296">AA178</f>
        <v>-56640.133287007942</v>
      </c>
      <c r="AC173" s="78">
        <f t="shared" ref="AC173" si="297">AB178</f>
        <v>-86899.084928554948</v>
      </c>
      <c r="AD173" s="78">
        <f t="shared" ref="AD173" si="298">AC178</f>
        <v>-117182.92054874507</v>
      </c>
      <c r="AE173" s="78">
        <f t="shared" ref="AE173" si="299">AD178</f>
        <v>-143690.88191311929</v>
      </c>
      <c r="AF173" s="78">
        <f t="shared" ref="AF173" si="300">AE178</f>
        <v>-72622.22738316402</v>
      </c>
      <c r="AG173" s="78">
        <f t="shared" ref="AG173" si="301">AF178</f>
        <v>0</v>
      </c>
      <c r="AH173" s="78">
        <f t="shared" ref="AH173" si="302">AG178</f>
        <v>0</v>
      </c>
      <c r="AI173" s="78">
        <f t="shared" ref="AI173" si="303">AH178</f>
        <v>0</v>
      </c>
      <c r="AJ173" s="78">
        <f t="shared" ref="AJ173" si="304">AI178</f>
        <v>0</v>
      </c>
      <c r="AK173" s="78">
        <f t="shared" ref="AK173" si="305">AJ178</f>
        <v>0</v>
      </c>
      <c r="AL173" s="78">
        <f t="shared" ref="AL173" si="306">AK178</f>
        <v>0</v>
      </c>
      <c r="AM173" s="78">
        <f t="shared" ref="AM173" si="307">AL178</f>
        <v>-26675.591023912741</v>
      </c>
    </row>
    <row r="174" spans="1:39" s="69" customFormat="1" ht="13" x14ac:dyDescent="0.3">
      <c r="A174" s="69" t="str">
        <f>A170</f>
        <v>Assessable Income</v>
      </c>
      <c r="B174" s="69" t="str">
        <f>B170</f>
        <v>$</v>
      </c>
      <c r="C174" s="78"/>
      <c r="D174" s="78">
        <f t="shared" ref="D174:Y174" si="308">D170</f>
        <v>-6791.666666666667</v>
      </c>
      <c r="E174" s="78">
        <f t="shared" si="308"/>
        <v>-8053.2986111111113</v>
      </c>
      <c r="F174" s="78">
        <f t="shared" si="308"/>
        <v>-8974.2472511574069</v>
      </c>
      <c r="G174" s="78">
        <f t="shared" si="308"/>
        <v>-9889.0470422212566</v>
      </c>
      <c r="H174" s="78">
        <f t="shared" si="308"/>
        <v>-10797.782626719734</v>
      </c>
      <c r="I174" s="78">
        <f t="shared" si="308"/>
        <v>-11617.203695214899</v>
      </c>
      <c r="J174" s="78">
        <f t="shared" si="308"/>
        <v>-50260.169464094579</v>
      </c>
      <c r="K174" s="78">
        <f t="shared" si="308"/>
        <v>22898.015412252513</v>
      </c>
      <c r="L174" s="78">
        <f t="shared" si="308"/>
        <v>169257.32611030067</v>
      </c>
      <c r="M174" s="78">
        <f t="shared" si="308"/>
        <v>120417.73832652012</v>
      </c>
      <c r="N174" s="78">
        <f t="shared" si="308"/>
        <v>22779.228266534396</v>
      </c>
      <c r="O174" s="78">
        <f t="shared" si="308"/>
        <v>-29858.227365496561</v>
      </c>
      <c r="P174" s="78">
        <f t="shared" si="308"/>
        <v>-29894.651377271952</v>
      </c>
      <c r="Q174" s="78">
        <f t="shared" si="308"/>
        <v>-29930.066098529052</v>
      </c>
      <c r="R174" s="78">
        <f t="shared" si="308"/>
        <v>-26164.493391010124</v>
      </c>
      <c r="S174" s="78">
        <f t="shared" si="308"/>
        <v>71402.045341778372</v>
      </c>
      <c r="T174" s="78">
        <f t="shared" si="308"/>
        <v>168969.52914500996</v>
      </c>
      <c r="U174" s="78">
        <f t="shared" si="308"/>
        <v>217737.9375031814</v>
      </c>
      <c r="V174" s="78">
        <f t="shared" si="308"/>
        <v>217707.25033095083</v>
      </c>
      <c r="W174" s="78">
        <f t="shared" si="308"/>
        <v>168877.44796416702</v>
      </c>
      <c r="X174" s="78">
        <f t="shared" si="308"/>
        <v>71248.511151085273</v>
      </c>
      <c r="Y174" s="78">
        <f t="shared" si="308"/>
        <v>22420.421043766604</v>
      </c>
      <c r="Z174" s="78">
        <f t="shared" ref="Z174:AM174" si="309">Z170</f>
        <v>-26406.840810344031</v>
      </c>
      <c r="AA174" s="78">
        <f t="shared" si="309"/>
        <v>-30233.292476663912</v>
      </c>
      <c r="AB174" s="78">
        <f t="shared" si="309"/>
        <v>-30258.951641547013</v>
      </c>
      <c r="AC174" s="78">
        <f t="shared" si="309"/>
        <v>-30283.835620190115</v>
      </c>
      <c r="AD174" s="78">
        <f t="shared" si="309"/>
        <v>-26507.961364374234</v>
      </c>
      <c r="AE174" s="78">
        <f t="shared" si="309"/>
        <v>71068.654529955267</v>
      </c>
      <c r="AF174" s="78">
        <f t="shared" si="309"/>
        <v>168645.99581526656</v>
      </c>
      <c r="AG174" s="78">
        <f t="shared" si="309"/>
        <v>217424.04658517381</v>
      </c>
      <c r="AH174" s="78">
        <f t="shared" si="309"/>
        <v>217402.79126732112</v>
      </c>
      <c r="AI174" s="78">
        <f t="shared" si="309"/>
        <v>168582.2146164148</v>
      </c>
      <c r="AJ174" s="78">
        <f t="shared" si="309"/>
        <v>70962.301707400708</v>
      </c>
      <c r="AK174" s="78">
        <f t="shared" si="309"/>
        <v>22143.037928783859</v>
      </c>
      <c r="AL174" s="78">
        <f t="shared" si="309"/>
        <v>-26675.591023912741</v>
      </c>
      <c r="AM174" s="78">
        <f t="shared" si="309"/>
        <v>-75493.599154553143</v>
      </c>
    </row>
    <row r="175" spans="1:39" s="69" customFormat="1" ht="13" x14ac:dyDescent="0.3">
      <c r="A175" s="69" t="s">
        <v>53</v>
      </c>
      <c r="B175" s="69" t="s">
        <v>76</v>
      </c>
      <c r="C175" s="78"/>
      <c r="D175" s="79">
        <f>D173+D174</f>
        <v>-6791.666666666667</v>
      </c>
      <c r="E175" s="79">
        <f t="shared" ref="E175:Y175" si="310">E173+E174</f>
        <v>-14844.965277777777</v>
      </c>
      <c r="F175" s="79">
        <f t="shared" si="310"/>
        <v>-23819.212528935182</v>
      </c>
      <c r="G175" s="79">
        <f t="shared" si="310"/>
        <v>-33708.259571156435</v>
      </c>
      <c r="H175" s="79">
        <f t="shared" si="310"/>
        <v>-44506.042197876173</v>
      </c>
      <c r="I175" s="79">
        <f t="shared" si="310"/>
        <v>-56123.245893091073</v>
      </c>
      <c r="J175" s="79">
        <f t="shared" si="310"/>
        <v>-106383.41535718564</v>
      </c>
      <c r="K175" s="79">
        <f t="shared" si="310"/>
        <v>-83485.399944933131</v>
      </c>
      <c r="L175" s="79">
        <f t="shared" si="310"/>
        <v>85771.926165367535</v>
      </c>
      <c r="M175" s="79">
        <f t="shared" si="310"/>
        <v>120417.73832652012</v>
      </c>
      <c r="N175" s="79">
        <f t="shared" si="310"/>
        <v>22779.228266534396</v>
      </c>
      <c r="O175" s="79">
        <f t="shared" si="310"/>
        <v>-29858.227365496561</v>
      </c>
      <c r="P175" s="79">
        <f t="shared" si="310"/>
        <v>-59752.878742768517</v>
      </c>
      <c r="Q175" s="79">
        <f t="shared" si="310"/>
        <v>-89682.944841297576</v>
      </c>
      <c r="R175" s="79">
        <f t="shared" si="310"/>
        <v>-115847.4382323077</v>
      </c>
      <c r="S175" s="79">
        <f t="shared" si="310"/>
        <v>-44445.392890529329</v>
      </c>
      <c r="T175" s="79">
        <f t="shared" si="310"/>
        <v>124524.13625448063</v>
      </c>
      <c r="U175" s="79">
        <f t="shared" si="310"/>
        <v>217737.9375031814</v>
      </c>
      <c r="V175" s="79">
        <f t="shared" si="310"/>
        <v>217707.25033095083</v>
      </c>
      <c r="W175" s="79">
        <f t="shared" si="310"/>
        <v>168877.44796416702</v>
      </c>
      <c r="X175" s="79">
        <f t="shared" si="310"/>
        <v>71248.511151085273</v>
      </c>
      <c r="Y175" s="79">
        <f t="shared" si="310"/>
        <v>22420.421043766604</v>
      </c>
      <c r="Z175" s="79">
        <f t="shared" ref="Z175" si="311">Z173+Z174</f>
        <v>-26406.840810344031</v>
      </c>
      <c r="AA175" s="79">
        <f t="shared" ref="AA175" si="312">AA173+AA174</f>
        <v>-56640.133287007942</v>
      </c>
      <c r="AB175" s="79">
        <f t="shared" ref="AB175" si="313">AB173+AB174</f>
        <v>-86899.084928554948</v>
      </c>
      <c r="AC175" s="79">
        <f t="shared" ref="AC175" si="314">AC173+AC174</f>
        <v>-117182.92054874507</v>
      </c>
      <c r="AD175" s="79">
        <f t="shared" ref="AD175" si="315">AD173+AD174</f>
        <v>-143690.88191311929</v>
      </c>
      <c r="AE175" s="79">
        <f t="shared" ref="AE175" si="316">AE173+AE174</f>
        <v>-72622.22738316402</v>
      </c>
      <c r="AF175" s="79">
        <f t="shared" ref="AF175" si="317">AF173+AF174</f>
        <v>96023.768432102544</v>
      </c>
      <c r="AG175" s="79">
        <f t="shared" ref="AG175" si="318">AG173+AG174</f>
        <v>217424.04658517381</v>
      </c>
      <c r="AH175" s="79">
        <f t="shared" ref="AH175" si="319">AH173+AH174</f>
        <v>217402.79126732112</v>
      </c>
      <c r="AI175" s="79">
        <f t="shared" ref="AI175" si="320">AI173+AI174</f>
        <v>168582.2146164148</v>
      </c>
      <c r="AJ175" s="79">
        <f t="shared" ref="AJ175" si="321">AJ173+AJ174</f>
        <v>70962.301707400708</v>
      </c>
      <c r="AK175" s="79">
        <f t="shared" ref="AK175" si="322">AK173+AK174</f>
        <v>22143.037928783859</v>
      </c>
      <c r="AL175" s="79">
        <f t="shared" ref="AL175" si="323">AL173+AL174</f>
        <v>-26675.591023912741</v>
      </c>
      <c r="AM175" s="79">
        <f t="shared" ref="AM175" si="324">AM173+AM174</f>
        <v>-102169.19017846588</v>
      </c>
    </row>
    <row r="176" spans="1:39" s="9" customFormat="1" ht="13" x14ac:dyDescent="0.3">
      <c r="A176" s="104" t="s">
        <v>15</v>
      </c>
      <c r="B176" s="104" t="s">
        <v>16</v>
      </c>
      <c r="C176" s="77"/>
      <c r="D176" s="108">
        <v>0.3</v>
      </c>
      <c r="E176" s="108">
        <f>D176</f>
        <v>0.3</v>
      </c>
      <c r="F176" s="108">
        <f t="shared" ref="F176:Y176" si="325">E176</f>
        <v>0.3</v>
      </c>
      <c r="G176" s="108">
        <f t="shared" si="325"/>
        <v>0.3</v>
      </c>
      <c r="H176" s="108">
        <f t="shared" si="325"/>
        <v>0.3</v>
      </c>
      <c r="I176" s="108">
        <f t="shared" si="325"/>
        <v>0.3</v>
      </c>
      <c r="J176" s="108">
        <f t="shared" si="325"/>
        <v>0.3</v>
      </c>
      <c r="K176" s="108">
        <f t="shared" si="325"/>
        <v>0.3</v>
      </c>
      <c r="L176" s="108">
        <f t="shared" si="325"/>
        <v>0.3</v>
      </c>
      <c r="M176" s="108">
        <f t="shared" si="325"/>
        <v>0.3</v>
      </c>
      <c r="N176" s="108">
        <f t="shared" si="325"/>
        <v>0.3</v>
      </c>
      <c r="O176" s="108">
        <f t="shared" si="325"/>
        <v>0.3</v>
      </c>
      <c r="P176" s="108">
        <f t="shared" si="325"/>
        <v>0.3</v>
      </c>
      <c r="Q176" s="108">
        <f t="shared" si="325"/>
        <v>0.3</v>
      </c>
      <c r="R176" s="108">
        <f t="shared" si="325"/>
        <v>0.3</v>
      </c>
      <c r="S176" s="108">
        <f t="shared" si="325"/>
        <v>0.3</v>
      </c>
      <c r="T176" s="108">
        <f t="shared" si="325"/>
        <v>0.3</v>
      </c>
      <c r="U176" s="108">
        <f t="shared" si="325"/>
        <v>0.3</v>
      </c>
      <c r="V176" s="108">
        <f t="shared" si="325"/>
        <v>0.3</v>
      </c>
      <c r="W176" s="108">
        <f t="shared" si="325"/>
        <v>0.3</v>
      </c>
      <c r="X176" s="108">
        <f t="shared" si="325"/>
        <v>0.3</v>
      </c>
      <c r="Y176" s="108">
        <f t="shared" si="325"/>
        <v>0.3</v>
      </c>
      <c r="Z176" s="108">
        <f t="shared" ref="Z176" si="326">Y176</f>
        <v>0.3</v>
      </c>
      <c r="AA176" s="108">
        <f t="shared" ref="AA176" si="327">Z176</f>
        <v>0.3</v>
      </c>
      <c r="AB176" s="108">
        <f t="shared" ref="AB176" si="328">AA176</f>
        <v>0.3</v>
      </c>
      <c r="AC176" s="108">
        <f t="shared" ref="AC176" si="329">AB176</f>
        <v>0.3</v>
      </c>
      <c r="AD176" s="108">
        <f t="shared" ref="AD176" si="330">AC176</f>
        <v>0.3</v>
      </c>
      <c r="AE176" s="108">
        <f t="shared" ref="AE176" si="331">AD176</f>
        <v>0.3</v>
      </c>
      <c r="AF176" s="108">
        <f t="shared" ref="AF176" si="332">AE176</f>
        <v>0.3</v>
      </c>
      <c r="AG176" s="108">
        <f t="shared" ref="AG176" si="333">AF176</f>
        <v>0.3</v>
      </c>
      <c r="AH176" s="108">
        <f t="shared" ref="AH176" si="334">AG176</f>
        <v>0.3</v>
      </c>
      <c r="AI176" s="108">
        <f t="shared" ref="AI176" si="335">AH176</f>
        <v>0.3</v>
      </c>
      <c r="AJ176" s="108">
        <f t="shared" ref="AJ176" si="336">AI176</f>
        <v>0.3</v>
      </c>
      <c r="AK176" s="108">
        <f t="shared" ref="AK176" si="337">AJ176</f>
        <v>0.3</v>
      </c>
      <c r="AL176" s="108">
        <f t="shared" ref="AL176" si="338">AK176</f>
        <v>0.3</v>
      </c>
      <c r="AM176" s="108">
        <f t="shared" ref="AM176" si="339">AL176</f>
        <v>0.3</v>
      </c>
    </row>
    <row r="177" spans="1:39" s="66" customFormat="1" ht="13" x14ac:dyDescent="0.3">
      <c r="A177" s="66" t="s">
        <v>136</v>
      </c>
      <c r="B177" s="69" t="s">
        <v>76</v>
      </c>
      <c r="C177" s="80">
        <f>SUM(D177:AM177)</f>
        <v>553206.82726297516</v>
      </c>
      <c r="D177" s="80">
        <f>IF(D175&lt;0,0,D175*D176)</f>
        <v>0</v>
      </c>
      <c r="E177" s="80">
        <f t="shared" ref="E177:Y177" si="340">IF(E175&lt;0,0,E175*E176)</f>
        <v>0</v>
      </c>
      <c r="F177" s="80">
        <f t="shared" si="340"/>
        <v>0</v>
      </c>
      <c r="G177" s="80">
        <f t="shared" si="340"/>
        <v>0</v>
      </c>
      <c r="H177" s="80">
        <f t="shared" si="340"/>
        <v>0</v>
      </c>
      <c r="I177" s="80">
        <f t="shared" si="340"/>
        <v>0</v>
      </c>
      <c r="J177" s="80">
        <f t="shared" si="340"/>
        <v>0</v>
      </c>
      <c r="K177" s="80">
        <f t="shared" si="340"/>
        <v>0</v>
      </c>
      <c r="L177" s="80">
        <f t="shared" si="340"/>
        <v>25731.577849610261</v>
      </c>
      <c r="M177" s="80">
        <f t="shared" si="340"/>
        <v>36125.321497956036</v>
      </c>
      <c r="N177" s="80">
        <f t="shared" si="340"/>
        <v>6833.7684799603185</v>
      </c>
      <c r="O177" s="80">
        <f t="shared" si="340"/>
        <v>0</v>
      </c>
      <c r="P177" s="80">
        <f t="shared" si="340"/>
        <v>0</v>
      </c>
      <c r="Q177" s="80">
        <f t="shared" si="340"/>
        <v>0</v>
      </c>
      <c r="R177" s="80">
        <f t="shared" si="340"/>
        <v>0</v>
      </c>
      <c r="S177" s="80">
        <f t="shared" si="340"/>
        <v>0</v>
      </c>
      <c r="T177" s="80">
        <f t="shared" si="340"/>
        <v>37357.240876344185</v>
      </c>
      <c r="U177" s="80">
        <f t="shared" si="340"/>
        <v>65321.381250954415</v>
      </c>
      <c r="V177" s="80">
        <f t="shared" si="340"/>
        <v>65312.175099285247</v>
      </c>
      <c r="W177" s="80">
        <f t="shared" si="340"/>
        <v>50663.234389250101</v>
      </c>
      <c r="X177" s="80">
        <f t="shared" si="340"/>
        <v>21374.553345325581</v>
      </c>
      <c r="Y177" s="80">
        <f t="shared" si="340"/>
        <v>6726.1263131299811</v>
      </c>
      <c r="Z177" s="80">
        <f t="shared" ref="Z177" si="341">IF(Z175&lt;0,0,Z175*Z176)</f>
        <v>0</v>
      </c>
      <c r="AA177" s="80">
        <f t="shared" ref="AA177" si="342">IF(AA175&lt;0,0,AA175*AA176)</f>
        <v>0</v>
      </c>
      <c r="AB177" s="80">
        <f t="shared" ref="AB177" si="343">IF(AB175&lt;0,0,AB175*AB176)</f>
        <v>0</v>
      </c>
      <c r="AC177" s="80">
        <f t="shared" ref="AC177" si="344">IF(AC175&lt;0,0,AC175*AC176)</f>
        <v>0</v>
      </c>
      <c r="AD177" s="80">
        <f t="shared" ref="AD177" si="345">IF(AD175&lt;0,0,AD175*AD176)</f>
        <v>0</v>
      </c>
      <c r="AE177" s="80">
        <f t="shared" ref="AE177" si="346">IF(AE175&lt;0,0,AE175*AE176)</f>
        <v>0</v>
      </c>
      <c r="AF177" s="80">
        <f t="shared" ref="AF177" si="347">IF(AF175&lt;0,0,AF175*AF176)</f>
        <v>28807.130529630762</v>
      </c>
      <c r="AG177" s="80">
        <f t="shared" ref="AG177" si="348">IF(AG175&lt;0,0,AG175*AG176)</f>
        <v>65227.213975552142</v>
      </c>
      <c r="AH177" s="80">
        <f t="shared" ref="AH177" si="349">IF(AH175&lt;0,0,AH175*AH176)</f>
        <v>65220.837380196332</v>
      </c>
      <c r="AI177" s="80">
        <f t="shared" ref="AI177" si="350">IF(AI175&lt;0,0,AI175*AI176)</f>
        <v>50574.664384924436</v>
      </c>
      <c r="AJ177" s="80">
        <f t="shared" ref="AJ177" si="351">IF(AJ175&lt;0,0,AJ175*AJ176)</f>
        <v>21288.690512220212</v>
      </c>
      <c r="AK177" s="80">
        <f t="shared" ref="AK177" si="352">IF(AK175&lt;0,0,AK175*AK176)</f>
        <v>6642.9113786351572</v>
      </c>
      <c r="AL177" s="80">
        <f t="shared" ref="AL177" si="353">IF(AL175&lt;0,0,AL175*AL176)</f>
        <v>0</v>
      </c>
      <c r="AM177" s="80">
        <f t="shared" ref="AM177" si="354">IF(AM175&lt;0,0,AM175*AM176)</f>
        <v>0</v>
      </c>
    </row>
    <row r="178" spans="1:39" s="69" customFormat="1" ht="13" x14ac:dyDescent="0.3">
      <c r="A178" s="69" t="s">
        <v>38</v>
      </c>
      <c r="C178" s="78"/>
      <c r="D178" s="78">
        <f>IF(D175&gt;0,0,D175)</f>
        <v>-6791.666666666667</v>
      </c>
      <c r="E178" s="78">
        <f t="shared" ref="E178:Y178" si="355">IF(E175&gt;0,0,E175)</f>
        <v>-14844.965277777777</v>
      </c>
      <c r="F178" s="78">
        <f t="shared" si="355"/>
        <v>-23819.212528935182</v>
      </c>
      <c r="G178" s="78">
        <f t="shared" si="355"/>
        <v>-33708.259571156435</v>
      </c>
      <c r="H178" s="78">
        <f t="shared" si="355"/>
        <v>-44506.042197876173</v>
      </c>
      <c r="I178" s="78">
        <f t="shared" si="355"/>
        <v>-56123.245893091073</v>
      </c>
      <c r="J178" s="78">
        <f t="shared" si="355"/>
        <v>-106383.41535718564</v>
      </c>
      <c r="K178" s="78">
        <f t="shared" si="355"/>
        <v>-83485.399944933131</v>
      </c>
      <c r="L178" s="78">
        <f t="shared" si="355"/>
        <v>0</v>
      </c>
      <c r="M178" s="78">
        <f t="shared" si="355"/>
        <v>0</v>
      </c>
      <c r="N178" s="78">
        <f t="shared" si="355"/>
        <v>0</v>
      </c>
      <c r="O178" s="78">
        <f t="shared" si="355"/>
        <v>-29858.227365496561</v>
      </c>
      <c r="P178" s="78">
        <f t="shared" si="355"/>
        <v>-59752.878742768517</v>
      </c>
      <c r="Q178" s="78">
        <f t="shared" si="355"/>
        <v>-89682.944841297576</v>
      </c>
      <c r="R178" s="78">
        <f t="shared" si="355"/>
        <v>-115847.4382323077</v>
      </c>
      <c r="S178" s="78">
        <f t="shared" si="355"/>
        <v>-44445.392890529329</v>
      </c>
      <c r="T178" s="78">
        <f t="shared" si="355"/>
        <v>0</v>
      </c>
      <c r="U178" s="78">
        <f t="shared" si="355"/>
        <v>0</v>
      </c>
      <c r="V178" s="78">
        <f t="shared" si="355"/>
        <v>0</v>
      </c>
      <c r="W178" s="78">
        <f t="shared" si="355"/>
        <v>0</v>
      </c>
      <c r="X178" s="78">
        <f t="shared" si="355"/>
        <v>0</v>
      </c>
      <c r="Y178" s="78">
        <f t="shared" si="355"/>
        <v>0</v>
      </c>
      <c r="Z178" s="78">
        <f t="shared" ref="Z178:AM178" si="356">IF(Z175&gt;0,0,Z175)</f>
        <v>-26406.840810344031</v>
      </c>
      <c r="AA178" s="78">
        <f t="shared" si="356"/>
        <v>-56640.133287007942</v>
      </c>
      <c r="AB178" s="78">
        <f t="shared" si="356"/>
        <v>-86899.084928554948</v>
      </c>
      <c r="AC178" s="78">
        <f t="shared" si="356"/>
        <v>-117182.92054874507</v>
      </c>
      <c r="AD178" s="78">
        <f t="shared" si="356"/>
        <v>-143690.88191311929</v>
      </c>
      <c r="AE178" s="78">
        <f t="shared" si="356"/>
        <v>-72622.22738316402</v>
      </c>
      <c r="AF178" s="78">
        <f t="shared" si="356"/>
        <v>0</v>
      </c>
      <c r="AG178" s="78">
        <f t="shared" si="356"/>
        <v>0</v>
      </c>
      <c r="AH178" s="78">
        <f t="shared" si="356"/>
        <v>0</v>
      </c>
      <c r="AI178" s="78">
        <f t="shared" si="356"/>
        <v>0</v>
      </c>
      <c r="AJ178" s="78">
        <f t="shared" si="356"/>
        <v>0</v>
      </c>
      <c r="AK178" s="78">
        <f t="shared" si="356"/>
        <v>0</v>
      </c>
      <c r="AL178" s="78">
        <f t="shared" si="356"/>
        <v>-26675.591023912741</v>
      </c>
      <c r="AM178" s="78">
        <f t="shared" si="356"/>
        <v>-102169.19017846588</v>
      </c>
    </row>
    <row r="179" spans="1:39" s="69" customFormat="1" ht="13" x14ac:dyDescent="0.3">
      <c r="A179" s="71"/>
      <c r="C179" s="68"/>
      <c r="D179" s="68"/>
      <c r="E179" s="68"/>
      <c r="F179" s="68"/>
      <c r="G179" s="68"/>
      <c r="H179" s="68"/>
      <c r="I179" s="68"/>
      <c r="J179" s="68"/>
      <c r="K179" s="68"/>
      <c r="L179" s="68"/>
      <c r="M179" s="68"/>
    </row>
    <row r="180" spans="1:39" s="9" customFormat="1" x14ac:dyDescent="0.35">
      <c r="A180" s="8" t="s">
        <v>151</v>
      </c>
      <c r="B180" s="9" t="s">
        <v>76</v>
      </c>
      <c r="C180" s="128">
        <f>SUM(D180:AM180)</f>
        <v>553206.82726297516</v>
      </c>
      <c r="D180" s="112">
        <f>D177</f>
        <v>0</v>
      </c>
      <c r="E180" s="112">
        <f t="shared" ref="E180:Y180" si="357">E177</f>
        <v>0</v>
      </c>
      <c r="F180" s="112">
        <f t="shared" si="357"/>
        <v>0</v>
      </c>
      <c r="G180" s="112">
        <f t="shared" si="357"/>
        <v>0</v>
      </c>
      <c r="H180" s="112">
        <f t="shared" si="357"/>
        <v>0</v>
      </c>
      <c r="I180" s="112">
        <f t="shared" si="357"/>
        <v>0</v>
      </c>
      <c r="J180" s="112">
        <f t="shared" si="357"/>
        <v>0</v>
      </c>
      <c r="K180" s="112">
        <f t="shared" si="357"/>
        <v>0</v>
      </c>
      <c r="L180" s="112">
        <f t="shared" si="357"/>
        <v>25731.577849610261</v>
      </c>
      <c r="M180" s="112">
        <f t="shared" si="357"/>
        <v>36125.321497956036</v>
      </c>
      <c r="N180" s="112">
        <f t="shared" si="357"/>
        <v>6833.7684799603185</v>
      </c>
      <c r="O180" s="112">
        <f t="shared" si="357"/>
        <v>0</v>
      </c>
      <c r="P180" s="112">
        <f t="shared" si="357"/>
        <v>0</v>
      </c>
      <c r="Q180" s="112">
        <f t="shared" si="357"/>
        <v>0</v>
      </c>
      <c r="R180" s="112">
        <f t="shared" si="357"/>
        <v>0</v>
      </c>
      <c r="S180" s="112">
        <f t="shared" si="357"/>
        <v>0</v>
      </c>
      <c r="T180" s="112">
        <f t="shared" si="357"/>
        <v>37357.240876344185</v>
      </c>
      <c r="U180" s="112">
        <f t="shared" si="357"/>
        <v>65321.381250954415</v>
      </c>
      <c r="V180" s="112">
        <f t="shared" si="357"/>
        <v>65312.175099285247</v>
      </c>
      <c r="W180" s="112">
        <f t="shared" si="357"/>
        <v>50663.234389250101</v>
      </c>
      <c r="X180" s="112">
        <f t="shared" si="357"/>
        <v>21374.553345325581</v>
      </c>
      <c r="Y180" s="112">
        <f t="shared" si="357"/>
        <v>6726.1263131299811</v>
      </c>
      <c r="Z180" s="112">
        <f t="shared" ref="Z180:AM180" si="358">Z177</f>
        <v>0</v>
      </c>
      <c r="AA180" s="112">
        <f t="shared" si="358"/>
        <v>0</v>
      </c>
      <c r="AB180" s="112">
        <f t="shared" si="358"/>
        <v>0</v>
      </c>
      <c r="AC180" s="112">
        <f t="shared" si="358"/>
        <v>0</v>
      </c>
      <c r="AD180" s="112">
        <f t="shared" si="358"/>
        <v>0</v>
      </c>
      <c r="AE180" s="112">
        <f t="shared" si="358"/>
        <v>0</v>
      </c>
      <c r="AF180" s="112">
        <f t="shared" si="358"/>
        <v>28807.130529630762</v>
      </c>
      <c r="AG180" s="112">
        <f t="shared" si="358"/>
        <v>65227.213975552142</v>
      </c>
      <c r="AH180" s="112">
        <f t="shared" si="358"/>
        <v>65220.837380196332</v>
      </c>
      <c r="AI180" s="112">
        <f t="shared" si="358"/>
        <v>50574.664384924436</v>
      </c>
      <c r="AJ180" s="112">
        <f t="shared" si="358"/>
        <v>21288.690512220212</v>
      </c>
      <c r="AK180" s="112">
        <f t="shared" si="358"/>
        <v>6642.9113786351572</v>
      </c>
      <c r="AL180" s="112">
        <f t="shared" si="358"/>
        <v>0</v>
      </c>
      <c r="AM180" s="112">
        <f t="shared" si="358"/>
        <v>0</v>
      </c>
    </row>
    <row r="181" spans="1:39" s="9" customFormat="1" ht="13" x14ac:dyDescent="0.3">
      <c r="A181" s="10"/>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spans="1:39" s="88" customFormat="1" ht="27" customHeight="1" x14ac:dyDescent="0.35">
      <c r="A182" s="87" t="str">
        <f t="shared" ref="A182:AM182" si="359">A$56</f>
        <v>Months --&gt;</v>
      </c>
      <c r="B182" s="88" t="str">
        <f t="shared" si="359"/>
        <v>Units</v>
      </c>
      <c r="C182" s="87" t="str">
        <f t="shared" si="359"/>
        <v>Total</v>
      </c>
      <c r="D182" s="87">
        <f t="shared" si="359"/>
        <v>46388</v>
      </c>
      <c r="E182" s="87">
        <f t="shared" si="359"/>
        <v>46419</v>
      </c>
      <c r="F182" s="87">
        <f t="shared" si="359"/>
        <v>46447</v>
      </c>
      <c r="G182" s="87">
        <f t="shared" si="359"/>
        <v>46478</v>
      </c>
      <c r="H182" s="87">
        <f t="shared" si="359"/>
        <v>46508</v>
      </c>
      <c r="I182" s="87">
        <f t="shared" si="359"/>
        <v>46539</v>
      </c>
      <c r="J182" s="87">
        <f t="shared" si="359"/>
        <v>46569</v>
      </c>
      <c r="K182" s="87">
        <f t="shared" si="359"/>
        <v>46600</v>
      </c>
      <c r="L182" s="87">
        <f t="shared" si="359"/>
        <v>46631</v>
      </c>
      <c r="M182" s="87">
        <f t="shared" si="359"/>
        <v>46661</v>
      </c>
      <c r="N182" s="87">
        <f t="shared" si="359"/>
        <v>46692</v>
      </c>
      <c r="O182" s="87">
        <f t="shared" si="359"/>
        <v>46722</v>
      </c>
      <c r="P182" s="87">
        <f t="shared" si="359"/>
        <v>46753</v>
      </c>
      <c r="Q182" s="87">
        <f t="shared" si="359"/>
        <v>46784</v>
      </c>
      <c r="R182" s="87">
        <f t="shared" si="359"/>
        <v>46813</v>
      </c>
      <c r="S182" s="87">
        <f t="shared" si="359"/>
        <v>46844</v>
      </c>
      <c r="T182" s="87">
        <f t="shared" si="359"/>
        <v>46874</v>
      </c>
      <c r="U182" s="87">
        <f t="shared" si="359"/>
        <v>46905</v>
      </c>
      <c r="V182" s="87">
        <f t="shared" si="359"/>
        <v>46935</v>
      </c>
      <c r="W182" s="87">
        <f t="shared" si="359"/>
        <v>46966</v>
      </c>
      <c r="X182" s="87">
        <f t="shared" si="359"/>
        <v>46997</v>
      </c>
      <c r="Y182" s="87">
        <f t="shared" si="359"/>
        <v>47027</v>
      </c>
      <c r="Z182" s="87">
        <f t="shared" si="359"/>
        <v>47058</v>
      </c>
      <c r="AA182" s="87">
        <f t="shared" si="359"/>
        <v>47088</v>
      </c>
      <c r="AB182" s="87">
        <f t="shared" si="359"/>
        <v>47119</v>
      </c>
      <c r="AC182" s="87">
        <f t="shared" si="359"/>
        <v>47150</v>
      </c>
      <c r="AD182" s="87">
        <f t="shared" si="359"/>
        <v>47178</v>
      </c>
      <c r="AE182" s="87">
        <f t="shared" si="359"/>
        <v>47209</v>
      </c>
      <c r="AF182" s="87">
        <f t="shared" si="359"/>
        <v>47239</v>
      </c>
      <c r="AG182" s="87">
        <f t="shared" si="359"/>
        <v>47270</v>
      </c>
      <c r="AH182" s="87">
        <f t="shared" si="359"/>
        <v>47300</v>
      </c>
      <c r="AI182" s="87">
        <f t="shared" si="359"/>
        <v>47331</v>
      </c>
      <c r="AJ182" s="87">
        <f t="shared" si="359"/>
        <v>47362</v>
      </c>
      <c r="AK182" s="87">
        <f t="shared" si="359"/>
        <v>47392</v>
      </c>
      <c r="AL182" s="87">
        <f t="shared" si="359"/>
        <v>47423</v>
      </c>
      <c r="AM182" s="87">
        <f t="shared" si="359"/>
        <v>47453</v>
      </c>
    </row>
    <row r="183" spans="1:39" s="57" customFormat="1" ht="43" customHeight="1" x14ac:dyDescent="0.45">
      <c r="A183" s="127" t="s">
        <v>156</v>
      </c>
      <c r="C183" s="63"/>
      <c r="D183" s="58"/>
      <c r="E183" s="63"/>
      <c r="F183" s="63"/>
      <c r="G183" s="63"/>
      <c r="H183" s="63"/>
      <c r="I183" s="63"/>
      <c r="J183" s="63"/>
      <c r="K183" s="63"/>
      <c r="L183" s="63"/>
      <c r="M183" s="63"/>
    </row>
    <row r="184" spans="1:39" s="9" customFormat="1" ht="13" x14ac:dyDescent="0.3">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row>
    <row r="185" spans="1:39" s="81" customFormat="1" ht="13" x14ac:dyDescent="0.3">
      <c r="A185" s="81" t="str">
        <f>A63</f>
        <v>Cashstream 1: Revenue</v>
      </c>
      <c r="B185" s="81" t="str">
        <f>B63</f>
        <v>$</v>
      </c>
      <c r="C185" s="78">
        <f>SUM(D185:AM185)</f>
        <v>3782000</v>
      </c>
      <c r="D185" s="78">
        <f t="shared" ref="D185:AM185" si="360">D63</f>
        <v>0</v>
      </c>
      <c r="E185" s="78">
        <f t="shared" si="360"/>
        <v>0</v>
      </c>
      <c r="F185" s="78">
        <f t="shared" si="360"/>
        <v>0</v>
      </c>
      <c r="G185" s="78">
        <f t="shared" si="360"/>
        <v>0</v>
      </c>
      <c r="H185" s="78">
        <f t="shared" si="360"/>
        <v>0</v>
      </c>
      <c r="I185" s="78">
        <f t="shared" si="360"/>
        <v>0</v>
      </c>
      <c r="J185" s="78">
        <f t="shared" si="360"/>
        <v>24400</v>
      </c>
      <c r="K185" s="78">
        <f t="shared" si="360"/>
        <v>97600</v>
      </c>
      <c r="L185" s="78">
        <f t="shared" si="360"/>
        <v>244000</v>
      </c>
      <c r="M185" s="78">
        <f t="shared" si="360"/>
        <v>195200</v>
      </c>
      <c r="N185" s="78">
        <f t="shared" si="360"/>
        <v>97600</v>
      </c>
      <c r="O185" s="78">
        <f t="shared" si="360"/>
        <v>0</v>
      </c>
      <c r="P185" s="78">
        <f t="shared" si="360"/>
        <v>0</v>
      </c>
      <c r="Q185" s="78">
        <f t="shared" si="360"/>
        <v>0</v>
      </c>
      <c r="R185" s="78">
        <f t="shared" si="360"/>
        <v>48800</v>
      </c>
      <c r="S185" s="78">
        <f t="shared" si="360"/>
        <v>146400</v>
      </c>
      <c r="T185" s="78">
        <f t="shared" si="360"/>
        <v>244000</v>
      </c>
      <c r="U185" s="78">
        <f t="shared" si="360"/>
        <v>292800</v>
      </c>
      <c r="V185" s="78">
        <f t="shared" si="360"/>
        <v>292800</v>
      </c>
      <c r="W185" s="78">
        <f t="shared" si="360"/>
        <v>244000</v>
      </c>
      <c r="X185" s="78">
        <f t="shared" si="360"/>
        <v>146400</v>
      </c>
      <c r="Y185" s="78">
        <f t="shared" si="360"/>
        <v>97600</v>
      </c>
      <c r="Z185" s="78">
        <f t="shared" si="360"/>
        <v>48800</v>
      </c>
      <c r="AA185" s="78">
        <f t="shared" si="360"/>
        <v>0</v>
      </c>
      <c r="AB185" s="78">
        <f t="shared" si="360"/>
        <v>0</v>
      </c>
      <c r="AC185" s="78">
        <f t="shared" si="360"/>
        <v>0</v>
      </c>
      <c r="AD185" s="78">
        <f t="shared" si="360"/>
        <v>48800</v>
      </c>
      <c r="AE185" s="78">
        <f t="shared" si="360"/>
        <v>146400</v>
      </c>
      <c r="AF185" s="78">
        <f t="shared" si="360"/>
        <v>244000</v>
      </c>
      <c r="AG185" s="78">
        <f t="shared" si="360"/>
        <v>292800</v>
      </c>
      <c r="AH185" s="78">
        <f t="shared" si="360"/>
        <v>292800</v>
      </c>
      <c r="AI185" s="78">
        <f t="shared" si="360"/>
        <v>244000</v>
      </c>
      <c r="AJ185" s="78">
        <f t="shared" si="360"/>
        <v>146400</v>
      </c>
      <c r="AK185" s="78">
        <f t="shared" si="360"/>
        <v>97600</v>
      </c>
      <c r="AL185" s="78">
        <f t="shared" si="360"/>
        <v>48800</v>
      </c>
      <c r="AM185" s="78">
        <f t="shared" si="360"/>
        <v>0</v>
      </c>
    </row>
    <row r="186" spans="1:39" s="81" customFormat="1" ht="13" x14ac:dyDescent="0.3">
      <c r="A186" s="81" t="str">
        <f>A92</f>
        <v>Cashstream 2: Capital Costs</v>
      </c>
      <c r="B186" s="81" t="str">
        <f>B92</f>
        <v>$</v>
      </c>
      <c r="C186" s="78">
        <f>SUM(D186:AM186)</f>
        <v>2506000</v>
      </c>
      <c r="D186" s="78">
        <f t="shared" ref="D186:AM186" si="361">D92</f>
        <v>931000</v>
      </c>
      <c r="E186" s="78">
        <f t="shared" si="361"/>
        <v>340000</v>
      </c>
      <c r="F186" s="78">
        <f t="shared" si="361"/>
        <v>240000</v>
      </c>
      <c r="G186" s="78">
        <f t="shared" si="361"/>
        <v>240000</v>
      </c>
      <c r="H186" s="78">
        <f t="shared" si="361"/>
        <v>240000</v>
      </c>
      <c r="I186" s="78">
        <f t="shared" si="361"/>
        <v>215000</v>
      </c>
      <c r="J186" s="78">
        <f t="shared" si="361"/>
        <v>10000</v>
      </c>
      <c r="K186" s="78">
        <f t="shared" si="361"/>
        <v>10000</v>
      </c>
      <c r="L186" s="78">
        <f t="shared" si="361"/>
        <v>10000</v>
      </c>
      <c r="M186" s="78">
        <f t="shared" si="361"/>
        <v>10000</v>
      </c>
      <c r="N186" s="78">
        <f t="shared" si="361"/>
        <v>10000</v>
      </c>
      <c r="O186" s="78">
        <f t="shared" si="361"/>
        <v>10000</v>
      </c>
      <c r="P186" s="78">
        <f t="shared" si="361"/>
        <v>10000</v>
      </c>
      <c r="Q186" s="78">
        <f t="shared" si="361"/>
        <v>10000</v>
      </c>
      <c r="R186" s="78">
        <f t="shared" si="361"/>
        <v>10000</v>
      </c>
      <c r="S186" s="78">
        <f t="shared" si="361"/>
        <v>10000</v>
      </c>
      <c r="T186" s="78">
        <f t="shared" si="361"/>
        <v>10000</v>
      </c>
      <c r="U186" s="78">
        <f t="shared" si="361"/>
        <v>10000</v>
      </c>
      <c r="V186" s="78">
        <f t="shared" si="361"/>
        <v>10000</v>
      </c>
      <c r="W186" s="78">
        <f t="shared" si="361"/>
        <v>10000</v>
      </c>
      <c r="X186" s="78">
        <f t="shared" si="361"/>
        <v>10000</v>
      </c>
      <c r="Y186" s="78">
        <f t="shared" si="361"/>
        <v>10000</v>
      </c>
      <c r="Z186" s="78">
        <f t="shared" si="361"/>
        <v>10000</v>
      </c>
      <c r="AA186" s="78">
        <f t="shared" si="361"/>
        <v>10000</v>
      </c>
      <c r="AB186" s="78">
        <f t="shared" si="361"/>
        <v>10000</v>
      </c>
      <c r="AC186" s="78">
        <f t="shared" si="361"/>
        <v>10000</v>
      </c>
      <c r="AD186" s="78">
        <f t="shared" si="361"/>
        <v>10000</v>
      </c>
      <c r="AE186" s="78">
        <f t="shared" si="361"/>
        <v>10000</v>
      </c>
      <c r="AF186" s="78">
        <f t="shared" si="361"/>
        <v>10000</v>
      </c>
      <c r="AG186" s="78">
        <f t="shared" si="361"/>
        <v>10000</v>
      </c>
      <c r="AH186" s="78">
        <f t="shared" si="361"/>
        <v>10000</v>
      </c>
      <c r="AI186" s="78">
        <f t="shared" si="361"/>
        <v>10000</v>
      </c>
      <c r="AJ186" s="78">
        <f t="shared" si="361"/>
        <v>10000</v>
      </c>
      <c r="AK186" s="78">
        <f t="shared" si="361"/>
        <v>10000</v>
      </c>
      <c r="AL186" s="78">
        <f t="shared" si="361"/>
        <v>10000</v>
      </c>
      <c r="AM186" s="78">
        <f t="shared" si="361"/>
        <v>10000</v>
      </c>
    </row>
    <row r="187" spans="1:39" s="81" customFormat="1" ht="13" x14ac:dyDescent="0.3">
      <c r="A187" s="81" t="str">
        <f>A117</f>
        <v>Cashstream 3: Operating Costs</v>
      </c>
      <c r="B187" s="81" t="str">
        <f>B117</f>
        <v>$</v>
      </c>
      <c r="C187" s="78">
        <f>SUM(D187:AM187)</f>
        <v>1620000</v>
      </c>
      <c r="D187" s="78">
        <f t="shared" ref="D187:AM187" si="362">D117</f>
        <v>0</v>
      </c>
      <c r="E187" s="78">
        <f t="shared" si="362"/>
        <v>0</v>
      </c>
      <c r="F187" s="78">
        <f t="shared" si="362"/>
        <v>0</v>
      </c>
      <c r="G187" s="78">
        <f t="shared" si="362"/>
        <v>0</v>
      </c>
      <c r="H187" s="78">
        <f t="shared" si="362"/>
        <v>0</v>
      </c>
      <c r="I187" s="78">
        <f t="shared" si="362"/>
        <v>0</v>
      </c>
      <c r="J187" s="78">
        <f t="shared" si="362"/>
        <v>63000</v>
      </c>
      <c r="K187" s="78">
        <f t="shared" si="362"/>
        <v>63000</v>
      </c>
      <c r="L187" s="78">
        <f t="shared" si="362"/>
        <v>63000</v>
      </c>
      <c r="M187" s="78">
        <f t="shared" si="362"/>
        <v>63000</v>
      </c>
      <c r="N187" s="78">
        <f t="shared" si="362"/>
        <v>63000</v>
      </c>
      <c r="O187" s="78">
        <f t="shared" si="362"/>
        <v>18000</v>
      </c>
      <c r="P187" s="78">
        <f t="shared" si="362"/>
        <v>18000</v>
      </c>
      <c r="Q187" s="78">
        <f t="shared" si="362"/>
        <v>18000</v>
      </c>
      <c r="R187" s="78">
        <f t="shared" si="362"/>
        <v>63000</v>
      </c>
      <c r="S187" s="78">
        <f t="shared" si="362"/>
        <v>63000</v>
      </c>
      <c r="T187" s="78">
        <f t="shared" si="362"/>
        <v>63000</v>
      </c>
      <c r="U187" s="78">
        <f t="shared" si="362"/>
        <v>63000</v>
      </c>
      <c r="V187" s="78">
        <f t="shared" si="362"/>
        <v>63000</v>
      </c>
      <c r="W187" s="78">
        <f t="shared" si="362"/>
        <v>63000</v>
      </c>
      <c r="X187" s="78">
        <f t="shared" si="362"/>
        <v>63000</v>
      </c>
      <c r="Y187" s="78">
        <f t="shared" si="362"/>
        <v>63000</v>
      </c>
      <c r="Z187" s="78">
        <f t="shared" si="362"/>
        <v>63000</v>
      </c>
      <c r="AA187" s="78">
        <f t="shared" si="362"/>
        <v>18000</v>
      </c>
      <c r="AB187" s="78">
        <f t="shared" si="362"/>
        <v>18000</v>
      </c>
      <c r="AC187" s="78">
        <f t="shared" si="362"/>
        <v>18000</v>
      </c>
      <c r="AD187" s="78">
        <f t="shared" si="362"/>
        <v>63000</v>
      </c>
      <c r="AE187" s="78">
        <f t="shared" si="362"/>
        <v>63000</v>
      </c>
      <c r="AF187" s="78">
        <f t="shared" si="362"/>
        <v>63000</v>
      </c>
      <c r="AG187" s="78">
        <f t="shared" si="362"/>
        <v>63000</v>
      </c>
      <c r="AH187" s="78">
        <f t="shared" si="362"/>
        <v>63000</v>
      </c>
      <c r="AI187" s="78">
        <f t="shared" si="362"/>
        <v>63000</v>
      </c>
      <c r="AJ187" s="78">
        <f t="shared" si="362"/>
        <v>63000</v>
      </c>
      <c r="AK187" s="78">
        <f t="shared" si="362"/>
        <v>63000</v>
      </c>
      <c r="AL187" s="78">
        <f t="shared" si="362"/>
        <v>63000</v>
      </c>
      <c r="AM187" s="78">
        <f t="shared" si="362"/>
        <v>63000</v>
      </c>
    </row>
    <row r="188" spans="1:39" s="81" customFormat="1" ht="13" x14ac:dyDescent="0.3">
      <c r="A188" s="81" t="str">
        <f>A180</f>
        <v>Cashstream 4: Income Tax (indicative)</v>
      </c>
      <c r="B188" s="81" t="str">
        <f>B180</f>
        <v>$</v>
      </c>
      <c r="C188" s="78">
        <f>SUM(D188:AM188)</f>
        <v>553206.82726297516</v>
      </c>
      <c r="D188" s="78">
        <f t="shared" ref="D188:Y188" si="363">D180</f>
        <v>0</v>
      </c>
      <c r="E188" s="78">
        <f t="shared" si="363"/>
        <v>0</v>
      </c>
      <c r="F188" s="78">
        <f t="shared" si="363"/>
        <v>0</v>
      </c>
      <c r="G188" s="78">
        <f t="shared" si="363"/>
        <v>0</v>
      </c>
      <c r="H188" s="78">
        <f t="shared" si="363"/>
        <v>0</v>
      </c>
      <c r="I188" s="78">
        <f t="shared" si="363"/>
        <v>0</v>
      </c>
      <c r="J188" s="78">
        <f t="shared" si="363"/>
        <v>0</v>
      </c>
      <c r="K188" s="78">
        <f t="shared" si="363"/>
        <v>0</v>
      </c>
      <c r="L188" s="78">
        <f t="shared" si="363"/>
        <v>25731.577849610261</v>
      </c>
      <c r="M188" s="78">
        <f t="shared" si="363"/>
        <v>36125.321497956036</v>
      </c>
      <c r="N188" s="78">
        <f t="shared" si="363"/>
        <v>6833.7684799603185</v>
      </c>
      <c r="O188" s="78">
        <f t="shared" si="363"/>
        <v>0</v>
      </c>
      <c r="P188" s="78">
        <f t="shared" si="363"/>
        <v>0</v>
      </c>
      <c r="Q188" s="78">
        <f t="shared" si="363"/>
        <v>0</v>
      </c>
      <c r="R188" s="78">
        <f t="shared" si="363"/>
        <v>0</v>
      </c>
      <c r="S188" s="78">
        <f t="shared" si="363"/>
        <v>0</v>
      </c>
      <c r="T188" s="78">
        <f t="shared" si="363"/>
        <v>37357.240876344185</v>
      </c>
      <c r="U188" s="78">
        <f t="shared" si="363"/>
        <v>65321.381250954415</v>
      </c>
      <c r="V188" s="78">
        <f t="shared" si="363"/>
        <v>65312.175099285247</v>
      </c>
      <c r="W188" s="78">
        <f t="shared" si="363"/>
        <v>50663.234389250101</v>
      </c>
      <c r="X188" s="78">
        <f t="shared" si="363"/>
        <v>21374.553345325581</v>
      </c>
      <c r="Y188" s="78">
        <f t="shared" si="363"/>
        <v>6726.1263131299811</v>
      </c>
      <c r="Z188" s="78">
        <f t="shared" ref="Z188:AM188" si="364">Z180</f>
        <v>0</v>
      </c>
      <c r="AA188" s="78">
        <f t="shared" si="364"/>
        <v>0</v>
      </c>
      <c r="AB188" s="78">
        <f t="shared" si="364"/>
        <v>0</v>
      </c>
      <c r="AC188" s="78">
        <f t="shared" si="364"/>
        <v>0</v>
      </c>
      <c r="AD188" s="78">
        <f t="shared" si="364"/>
        <v>0</v>
      </c>
      <c r="AE188" s="78">
        <f t="shared" si="364"/>
        <v>0</v>
      </c>
      <c r="AF188" s="78">
        <f t="shared" si="364"/>
        <v>28807.130529630762</v>
      </c>
      <c r="AG188" s="78">
        <f t="shared" si="364"/>
        <v>65227.213975552142</v>
      </c>
      <c r="AH188" s="78">
        <f t="shared" si="364"/>
        <v>65220.837380196332</v>
      </c>
      <c r="AI188" s="78">
        <f t="shared" si="364"/>
        <v>50574.664384924436</v>
      </c>
      <c r="AJ188" s="78">
        <f t="shared" si="364"/>
        <v>21288.690512220212</v>
      </c>
      <c r="AK188" s="78">
        <f t="shared" si="364"/>
        <v>6642.9113786351572</v>
      </c>
      <c r="AL188" s="78">
        <f t="shared" si="364"/>
        <v>0</v>
      </c>
      <c r="AM188" s="78">
        <f t="shared" si="364"/>
        <v>0</v>
      </c>
    </row>
    <row r="189" spans="1:39" s="9" customFormat="1" x14ac:dyDescent="0.35">
      <c r="A189" s="8" t="s">
        <v>153</v>
      </c>
      <c r="B189" s="9" t="s">
        <v>76</v>
      </c>
      <c r="C189" s="128">
        <f>SUM(D189:AM189)</f>
        <v>-897206.82726297551</v>
      </c>
      <c r="D189" s="112">
        <f t="shared" ref="D189:G189" si="365">D185-SUM(D186:D188)</f>
        <v>-931000</v>
      </c>
      <c r="E189" s="112">
        <f t="shared" si="365"/>
        <v>-340000</v>
      </c>
      <c r="F189" s="112">
        <f>F185-SUM(F186:F188)</f>
        <v>-240000</v>
      </c>
      <c r="G189" s="112">
        <f t="shared" si="365"/>
        <v>-240000</v>
      </c>
      <c r="H189" s="112">
        <f t="shared" ref="H189:Y189" si="366">H185-SUM(H186:H188)</f>
        <v>-240000</v>
      </c>
      <c r="I189" s="112">
        <f t="shared" si="366"/>
        <v>-215000</v>
      </c>
      <c r="J189" s="112">
        <f t="shared" si="366"/>
        <v>-48600</v>
      </c>
      <c r="K189" s="112">
        <f t="shared" si="366"/>
        <v>24600</v>
      </c>
      <c r="L189" s="112">
        <f t="shared" si="366"/>
        <v>145268.42215038976</v>
      </c>
      <c r="M189" s="112">
        <f t="shared" si="366"/>
        <v>86074.678502043971</v>
      </c>
      <c r="N189" s="112">
        <f t="shared" si="366"/>
        <v>17766.231520039684</v>
      </c>
      <c r="O189" s="112">
        <f t="shared" si="366"/>
        <v>-28000</v>
      </c>
      <c r="P189" s="112">
        <f t="shared" si="366"/>
        <v>-28000</v>
      </c>
      <c r="Q189" s="112">
        <f t="shared" si="366"/>
        <v>-28000</v>
      </c>
      <c r="R189" s="112">
        <f t="shared" si="366"/>
        <v>-24200</v>
      </c>
      <c r="S189" s="112">
        <f t="shared" si="366"/>
        <v>73400</v>
      </c>
      <c r="T189" s="112">
        <f t="shared" si="366"/>
        <v>133642.75912365582</v>
      </c>
      <c r="U189" s="112">
        <f t="shared" si="366"/>
        <v>154478.61874904559</v>
      </c>
      <c r="V189" s="112">
        <f t="shared" si="366"/>
        <v>154487.82490071474</v>
      </c>
      <c r="W189" s="112">
        <f t="shared" si="366"/>
        <v>120336.76561074989</v>
      </c>
      <c r="X189" s="112">
        <f t="shared" si="366"/>
        <v>52025.446654674422</v>
      </c>
      <c r="Y189" s="112">
        <f t="shared" si="366"/>
        <v>17873.873686870022</v>
      </c>
      <c r="Z189" s="112">
        <f t="shared" ref="Z189:AM189" si="367">Z185-SUM(Z186:Z188)</f>
        <v>-24200</v>
      </c>
      <c r="AA189" s="112">
        <f t="shared" si="367"/>
        <v>-28000</v>
      </c>
      <c r="AB189" s="112">
        <f t="shared" si="367"/>
        <v>-28000</v>
      </c>
      <c r="AC189" s="112">
        <f t="shared" si="367"/>
        <v>-28000</v>
      </c>
      <c r="AD189" s="112">
        <f t="shared" si="367"/>
        <v>-24200</v>
      </c>
      <c r="AE189" s="112">
        <f t="shared" si="367"/>
        <v>73400</v>
      </c>
      <c r="AF189" s="112">
        <f t="shared" si="367"/>
        <v>142192.86947036925</v>
      </c>
      <c r="AG189" s="112">
        <f t="shared" si="367"/>
        <v>154572.78602444785</v>
      </c>
      <c r="AH189" s="112">
        <f t="shared" si="367"/>
        <v>154579.16261980368</v>
      </c>
      <c r="AI189" s="112">
        <f t="shared" si="367"/>
        <v>120425.33561507557</v>
      </c>
      <c r="AJ189" s="112">
        <f t="shared" si="367"/>
        <v>52111.309487779785</v>
      </c>
      <c r="AK189" s="112">
        <f t="shared" si="367"/>
        <v>17957.088621364848</v>
      </c>
      <c r="AL189" s="112">
        <f t="shared" si="367"/>
        <v>-24200</v>
      </c>
      <c r="AM189" s="112">
        <f t="shared" si="367"/>
        <v>-73000</v>
      </c>
    </row>
    <row r="190" spans="1:39" s="69" customFormat="1" ht="8.5" customHeight="1" x14ac:dyDescent="0.3">
      <c r="A190" s="33"/>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row>
    <row r="191" spans="1:39" s="81" customFormat="1" ht="13" x14ac:dyDescent="0.3">
      <c r="A191" s="83" t="s">
        <v>154</v>
      </c>
      <c r="B191" s="81" t="s">
        <v>76</v>
      </c>
      <c r="C191" s="80"/>
      <c r="D191" s="80">
        <f>D189</f>
        <v>-931000</v>
      </c>
      <c r="E191" s="80">
        <f t="shared" ref="E191:G191" si="368">D191+E189</f>
        <v>-1271000</v>
      </c>
      <c r="F191" s="80">
        <f t="shared" si="368"/>
        <v>-1511000</v>
      </c>
      <c r="G191" s="80">
        <f t="shared" si="368"/>
        <v>-1751000</v>
      </c>
      <c r="H191" s="80">
        <f t="shared" ref="H191:Y191" si="369">G191+H189</f>
        <v>-1991000</v>
      </c>
      <c r="I191" s="80">
        <f t="shared" si="369"/>
        <v>-2206000</v>
      </c>
      <c r="J191" s="80">
        <f t="shared" si="369"/>
        <v>-2254600</v>
      </c>
      <c r="K191" s="80">
        <f t="shared" si="369"/>
        <v>-2230000</v>
      </c>
      <c r="L191" s="80">
        <f t="shared" si="369"/>
        <v>-2084731.5778496102</v>
      </c>
      <c r="M191" s="80">
        <f t="shared" si="369"/>
        <v>-1998656.8993475663</v>
      </c>
      <c r="N191" s="80">
        <f t="shared" si="369"/>
        <v>-1980890.6678275266</v>
      </c>
      <c r="O191" s="80">
        <f t="shared" si="369"/>
        <v>-2008890.6678275266</v>
      </c>
      <c r="P191" s="80">
        <f t="shared" si="369"/>
        <v>-2036890.6678275266</v>
      </c>
      <c r="Q191" s="80">
        <f t="shared" si="369"/>
        <v>-2064890.6678275266</v>
      </c>
      <c r="R191" s="80">
        <f t="shared" si="369"/>
        <v>-2089090.6678275266</v>
      </c>
      <c r="S191" s="80">
        <f t="shared" si="369"/>
        <v>-2015690.6678275266</v>
      </c>
      <c r="T191" s="80">
        <f t="shared" si="369"/>
        <v>-1882047.9087038708</v>
      </c>
      <c r="U191" s="80">
        <f t="shared" si="369"/>
        <v>-1727569.2899548253</v>
      </c>
      <c r="V191" s="80">
        <f t="shared" si="369"/>
        <v>-1573081.4650541106</v>
      </c>
      <c r="W191" s="80">
        <f t="shared" si="369"/>
        <v>-1452744.6994433608</v>
      </c>
      <c r="X191" s="80">
        <f t="shared" si="369"/>
        <v>-1400719.2527886864</v>
      </c>
      <c r="Y191" s="80">
        <f t="shared" si="369"/>
        <v>-1382845.3791018163</v>
      </c>
      <c r="Z191" s="80">
        <f t="shared" ref="Z191" si="370">Y191+Z189</f>
        <v>-1407045.3791018163</v>
      </c>
      <c r="AA191" s="80">
        <f t="shared" ref="AA191" si="371">Z191+AA189</f>
        <v>-1435045.3791018163</v>
      </c>
      <c r="AB191" s="80">
        <f t="shared" ref="AB191" si="372">AA191+AB189</f>
        <v>-1463045.3791018163</v>
      </c>
      <c r="AC191" s="80">
        <f t="shared" ref="AC191" si="373">AB191+AC189</f>
        <v>-1491045.3791018163</v>
      </c>
      <c r="AD191" s="80">
        <f t="shared" ref="AD191" si="374">AC191+AD189</f>
        <v>-1515245.3791018163</v>
      </c>
      <c r="AE191" s="80">
        <f t="shared" ref="AE191" si="375">AD191+AE189</f>
        <v>-1441845.3791018163</v>
      </c>
      <c r="AF191" s="80">
        <f t="shared" ref="AF191" si="376">AE191+AF189</f>
        <v>-1299652.509631447</v>
      </c>
      <c r="AG191" s="80">
        <f t="shared" ref="AG191" si="377">AF191+AG189</f>
        <v>-1145079.7236069993</v>
      </c>
      <c r="AH191" s="80">
        <f t="shared" ref="AH191" si="378">AG191+AH189</f>
        <v>-990500.56098719558</v>
      </c>
      <c r="AI191" s="80">
        <f t="shared" ref="AI191" si="379">AH191+AI189</f>
        <v>-870075.22537212004</v>
      </c>
      <c r="AJ191" s="80">
        <f t="shared" ref="AJ191" si="380">AI191+AJ189</f>
        <v>-817963.9158843403</v>
      </c>
      <c r="AK191" s="80">
        <f t="shared" ref="AK191" si="381">AJ191+AK189</f>
        <v>-800006.82726297551</v>
      </c>
      <c r="AL191" s="80">
        <f t="shared" ref="AL191" si="382">AK191+AL189</f>
        <v>-824206.82726297551</v>
      </c>
      <c r="AM191" s="80">
        <f t="shared" ref="AM191" si="383">AL191+AM189</f>
        <v>-897206.82726297551</v>
      </c>
    </row>
    <row r="192" spans="1:39" s="69" customFormat="1" ht="13" x14ac:dyDescent="0.3">
      <c r="A192" s="33" t="s">
        <v>128</v>
      </c>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row>
    <row r="193" spans="1:39" s="57" customFormat="1" ht="32.5" customHeight="1" x14ac:dyDescent="0.45">
      <c r="A193" s="127" t="s">
        <v>157</v>
      </c>
      <c r="C193" s="63"/>
      <c r="D193" s="58"/>
      <c r="E193" s="63"/>
      <c r="F193" s="63"/>
      <c r="G193" s="63"/>
      <c r="H193" s="63"/>
      <c r="I193" s="63"/>
      <c r="J193" s="63"/>
      <c r="K193" s="63"/>
      <c r="L193" s="63"/>
      <c r="M193" s="63"/>
    </row>
    <row r="194" spans="1:39" s="81" customFormat="1" x14ac:dyDescent="0.35">
      <c r="A194" s="131" t="s">
        <v>155</v>
      </c>
      <c r="B194" s="81" t="s">
        <v>80</v>
      </c>
      <c r="C194" s="20">
        <f>IRR(D189:AM189,5%)</f>
        <v>-2.5729929981565647E-2</v>
      </c>
      <c r="D194" s="78"/>
      <c r="E194" s="78"/>
      <c r="F194" s="78"/>
      <c r="G194" s="78"/>
      <c r="H194" s="78"/>
      <c r="I194" s="78"/>
      <c r="J194" s="78"/>
      <c r="K194" s="78"/>
      <c r="L194" s="78"/>
      <c r="M194" s="78"/>
      <c r="N194" s="78"/>
      <c r="O194" s="78"/>
      <c r="P194" s="78"/>
      <c r="Q194" s="78"/>
      <c r="R194" s="78"/>
      <c r="S194" s="78"/>
      <c r="T194" s="78"/>
      <c r="U194" s="78"/>
      <c r="V194" s="78"/>
      <c r="W194" s="78"/>
      <c r="X194" s="78"/>
      <c r="Y194" s="78"/>
      <c r="Z194" s="78"/>
      <c r="AA194" s="78"/>
      <c r="AB194" s="78"/>
      <c r="AC194" s="78"/>
      <c r="AD194" s="78"/>
      <c r="AE194" s="78"/>
      <c r="AF194" s="78"/>
      <c r="AG194" s="78"/>
      <c r="AH194" s="78"/>
      <c r="AI194" s="78"/>
      <c r="AJ194" s="78"/>
      <c r="AK194" s="78"/>
      <c r="AL194" s="78"/>
      <c r="AM194" s="78"/>
    </row>
    <row r="195" spans="1:39" s="57" customFormat="1" ht="32.5" customHeight="1" x14ac:dyDescent="0.45">
      <c r="A195" s="127" t="s">
        <v>13</v>
      </c>
      <c r="C195" s="63"/>
      <c r="D195" s="58"/>
      <c r="E195" s="63"/>
      <c r="F195" s="63"/>
      <c r="G195" s="63"/>
      <c r="H195" s="63"/>
      <c r="I195" s="63"/>
      <c r="J195" s="63"/>
      <c r="K195" s="63"/>
      <c r="L195" s="63"/>
      <c r="M195" s="63"/>
    </row>
    <row r="196" spans="1:39" s="9" customFormat="1" ht="13" x14ac:dyDescent="0.3">
      <c r="A196" s="33" t="s">
        <v>131</v>
      </c>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row>
    <row r="197" spans="1:39" s="9" customFormat="1" ht="13" x14ac:dyDescent="0.3">
      <c r="A197" s="33" t="s">
        <v>129</v>
      </c>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row>
    <row r="198" spans="1:39" s="9" customFormat="1" ht="13" x14ac:dyDescent="0.3">
      <c r="A198" s="33" t="s">
        <v>132</v>
      </c>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row>
    <row r="199" spans="1:39" s="9" customFormat="1" ht="13.5" thickBot="1" x14ac:dyDescent="0.35">
      <c r="A199" s="104" t="s">
        <v>2</v>
      </c>
      <c r="B199" s="104" t="s">
        <v>39</v>
      </c>
      <c r="C199" s="77"/>
      <c r="D199" s="105">
        <f>6%^1/12</f>
        <v>5.0000000000000001E-3</v>
      </c>
      <c r="E199" s="105">
        <f>D199</f>
        <v>5.0000000000000001E-3</v>
      </c>
      <c r="F199" s="105">
        <f t="shared" ref="F199:G199" si="384">E199</f>
        <v>5.0000000000000001E-3</v>
      </c>
      <c r="G199" s="105">
        <f t="shared" si="384"/>
        <v>5.0000000000000001E-3</v>
      </c>
      <c r="H199" s="105">
        <f t="shared" ref="H199" si="385">G199</f>
        <v>5.0000000000000001E-3</v>
      </c>
      <c r="I199" s="105">
        <f t="shared" ref="I199" si="386">H199</f>
        <v>5.0000000000000001E-3</v>
      </c>
      <c r="J199" s="105">
        <f t="shared" ref="J199" si="387">I199</f>
        <v>5.0000000000000001E-3</v>
      </c>
      <c r="K199" s="105">
        <f t="shared" ref="K199" si="388">J199</f>
        <v>5.0000000000000001E-3</v>
      </c>
      <c r="L199" s="105">
        <f t="shared" ref="L199" si="389">K199</f>
        <v>5.0000000000000001E-3</v>
      </c>
      <c r="M199" s="105">
        <f t="shared" ref="M199" si="390">L199</f>
        <v>5.0000000000000001E-3</v>
      </c>
      <c r="N199" s="105">
        <f t="shared" ref="N199" si="391">M199</f>
        <v>5.0000000000000001E-3</v>
      </c>
      <c r="O199" s="105">
        <f t="shared" ref="O199" si="392">N199</f>
        <v>5.0000000000000001E-3</v>
      </c>
      <c r="P199" s="105">
        <f t="shared" ref="P199" si="393">O199</f>
        <v>5.0000000000000001E-3</v>
      </c>
      <c r="Q199" s="105">
        <f t="shared" ref="Q199" si="394">P199</f>
        <v>5.0000000000000001E-3</v>
      </c>
      <c r="R199" s="105">
        <f t="shared" ref="R199" si="395">Q199</f>
        <v>5.0000000000000001E-3</v>
      </c>
      <c r="S199" s="105">
        <f t="shared" ref="S199" si="396">R199</f>
        <v>5.0000000000000001E-3</v>
      </c>
      <c r="T199" s="105">
        <f t="shared" ref="T199" si="397">S199</f>
        <v>5.0000000000000001E-3</v>
      </c>
      <c r="U199" s="105">
        <f t="shared" ref="U199" si="398">T199</f>
        <v>5.0000000000000001E-3</v>
      </c>
      <c r="V199" s="105">
        <f t="shared" ref="V199" si="399">U199</f>
        <v>5.0000000000000001E-3</v>
      </c>
      <c r="W199" s="105">
        <f t="shared" ref="W199" si="400">V199</f>
        <v>5.0000000000000001E-3</v>
      </c>
      <c r="X199" s="105">
        <f t="shared" ref="X199" si="401">W199</f>
        <v>5.0000000000000001E-3</v>
      </c>
      <c r="Y199" s="105">
        <f t="shared" ref="Y199" si="402">X199</f>
        <v>5.0000000000000001E-3</v>
      </c>
      <c r="Z199" s="105">
        <f t="shared" ref="Z199" si="403">Y199</f>
        <v>5.0000000000000001E-3</v>
      </c>
      <c r="AA199" s="105">
        <f t="shared" ref="AA199" si="404">Z199</f>
        <v>5.0000000000000001E-3</v>
      </c>
      <c r="AB199" s="105">
        <f t="shared" ref="AB199" si="405">AA199</f>
        <v>5.0000000000000001E-3</v>
      </c>
      <c r="AC199" s="105">
        <f t="shared" ref="AC199" si="406">AB199</f>
        <v>5.0000000000000001E-3</v>
      </c>
      <c r="AD199" s="105">
        <f t="shared" ref="AD199" si="407">AC199</f>
        <v>5.0000000000000001E-3</v>
      </c>
      <c r="AE199" s="105">
        <f t="shared" ref="AE199" si="408">AD199</f>
        <v>5.0000000000000001E-3</v>
      </c>
      <c r="AF199" s="105">
        <f t="shared" ref="AF199" si="409">AE199</f>
        <v>5.0000000000000001E-3</v>
      </c>
      <c r="AG199" s="105">
        <f t="shared" ref="AG199" si="410">AF199</f>
        <v>5.0000000000000001E-3</v>
      </c>
      <c r="AH199" s="105">
        <f t="shared" ref="AH199" si="411">AG199</f>
        <v>5.0000000000000001E-3</v>
      </c>
      <c r="AI199" s="105">
        <f t="shared" ref="AI199" si="412">AH199</f>
        <v>5.0000000000000001E-3</v>
      </c>
      <c r="AJ199" s="105">
        <f t="shared" ref="AJ199" si="413">AI199</f>
        <v>5.0000000000000001E-3</v>
      </c>
      <c r="AK199" s="105">
        <f t="shared" ref="AK199" si="414">AJ199</f>
        <v>5.0000000000000001E-3</v>
      </c>
      <c r="AL199" s="105">
        <f t="shared" ref="AL199" si="415">AK199</f>
        <v>5.0000000000000001E-3</v>
      </c>
      <c r="AM199" s="105">
        <f t="shared" ref="AM199" si="416">AL199</f>
        <v>5.0000000000000001E-3</v>
      </c>
    </row>
    <row r="200" spans="1:39" s="9" customFormat="1" ht="13.5" thickBot="1" x14ac:dyDescent="0.35">
      <c r="A200" s="9" t="s">
        <v>14</v>
      </c>
      <c r="C200" s="77"/>
      <c r="D200" s="84">
        <f>1/(1+D199)^0.5</f>
        <v>0.99750933610763293</v>
      </c>
      <c r="E200" s="85">
        <f>D200/(1+E199)</f>
        <v>0.99254660309217213</v>
      </c>
      <c r="F200" s="85">
        <f>E200/(1+F199)</f>
        <v>0.98760856029071864</v>
      </c>
      <c r="G200" s="85">
        <f t="shared" ref="G200" si="417">F200/(1+G199)</f>
        <v>0.98269508486638679</v>
      </c>
      <c r="H200" s="85">
        <f t="shared" ref="H200" si="418">G200/(1+H199)</f>
        <v>0.97780605459341985</v>
      </c>
      <c r="I200" s="85">
        <f t="shared" ref="I200" si="419">H200/(1+I199)</f>
        <v>0.97294134785414921</v>
      </c>
      <c r="J200" s="85">
        <f t="shared" ref="J200" si="420">I200/(1+J199)</f>
        <v>0.96810084363596949</v>
      </c>
      <c r="K200" s="85">
        <f t="shared" ref="K200" si="421">J200/(1+K199)</f>
        <v>0.96328442152832794</v>
      </c>
      <c r="L200" s="85">
        <f t="shared" ref="L200" si="422">K200/(1+L199)</f>
        <v>0.95849196171972939</v>
      </c>
      <c r="M200" s="85">
        <f t="shared" ref="M200" si="423">L200/(1+M199)</f>
        <v>0.95372334499475575</v>
      </c>
      <c r="N200" s="85">
        <f t="shared" ref="N200" si="424">M200/(1+N199)</f>
        <v>0.94897845273110037</v>
      </c>
      <c r="O200" s="85">
        <f t="shared" ref="O200" si="425">N200/(1+O199)</f>
        <v>0.94425716689661743</v>
      </c>
      <c r="P200" s="85">
        <f t="shared" ref="P200" si="426">O200/(1+P199)</f>
        <v>0.93955937004638557</v>
      </c>
      <c r="Q200" s="85">
        <f t="shared" ref="Q200" si="427">P200/(1+Q199)</f>
        <v>0.93488494531978672</v>
      </c>
      <c r="R200" s="85">
        <f t="shared" ref="R200" si="428">Q200/(1+R199)</f>
        <v>0.93023377643759886</v>
      </c>
      <c r="S200" s="85">
        <f t="shared" ref="S200" si="429">R200/(1+S199)</f>
        <v>0.92560574769910342</v>
      </c>
      <c r="T200" s="85">
        <f t="shared" ref="T200" si="430">S200/(1+T199)</f>
        <v>0.9210007439792075</v>
      </c>
      <c r="U200" s="85">
        <f t="shared" ref="U200" si="431">T200/(1+U199)</f>
        <v>0.91641865072557971</v>
      </c>
      <c r="V200" s="85">
        <f t="shared" ref="V200" si="432">U200/(1+V199)</f>
        <v>0.91185935395580076</v>
      </c>
      <c r="W200" s="85">
        <f t="shared" ref="W200" si="433">V200/(1+W199)</f>
        <v>0.90732274025452819</v>
      </c>
      <c r="X200" s="85">
        <f t="shared" ref="X200" si="434">W200/(1+X199)</f>
        <v>0.90280869677067488</v>
      </c>
      <c r="Y200" s="85">
        <f t="shared" ref="Y200" si="435">X200/(1+Y199)</f>
        <v>0.898317111214602</v>
      </c>
      <c r="Z200" s="85">
        <f t="shared" ref="Z200" si="436">Y200/(1+Z199)</f>
        <v>0.89384787185532544</v>
      </c>
      <c r="AA200" s="85">
        <f t="shared" ref="AA200" si="437">Z200/(1+AA199)</f>
        <v>0.88940086751773684</v>
      </c>
      <c r="AB200" s="85">
        <f t="shared" ref="AB200" si="438">AA200/(1+AB199)</f>
        <v>0.88497598757983775</v>
      </c>
      <c r="AC200" s="85">
        <f t="shared" ref="AC200" si="439">AB200/(1+AC199)</f>
        <v>0.88057312196998794</v>
      </c>
      <c r="AD200" s="85">
        <f t="shared" ref="AD200" si="440">AC200/(1+AD199)</f>
        <v>0.8761921611641672</v>
      </c>
      <c r="AE200" s="85">
        <f t="shared" ref="AE200" si="441">AD200/(1+AE199)</f>
        <v>0.87183299618325105</v>
      </c>
      <c r="AF200" s="85">
        <f t="shared" ref="AF200" si="442">AE200/(1+AF199)</f>
        <v>0.86749551859029961</v>
      </c>
      <c r="AG200" s="85">
        <f t="shared" ref="AG200" si="443">AF200/(1+AG199)</f>
        <v>0.86317962048786034</v>
      </c>
      <c r="AH200" s="85">
        <f t="shared" ref="AH200" si="444">AG200/(1+AH199)</f>
        <v>0.858885194515284</v>
      </c>
      <c r="AI200" s="85">
        <f t="shared" ref="AI200" si="445">AH200/(1+AI199)</f>
        <v>0.85461213384605383</v>
      </c>
      <c r="AJ200" s="85">
        <f t="shared" ref="AJ200" si="446">AI200/(1+AJ199)</f>
        <v>0.8503603321851283</v>
      </c>
      <c r="AK200" s="85">
        <f t="shared" ref="AK200" si="447">AJ200/(1+AK199)</f>
        <v>0.84612968376629694</v>
      </c>
      <c r="AL200" s="85">
        <f t="shared" ref="AL200" si="448">AK200/(1+AL199)</f>
        <v>0.84192008334954926</v>
      </c>
      <c r="AM200" s="85">
        <f t="shared" ref="AM200" si="449">AL200/(1+AM199)</f>
        <v>0.83773142621845709</v>
      </c>
    </row>
    <row r="201" spans="1:39" s="9" customFormat="1" ht="13" x14ac:dyDescent="0.3">
      <c r="A201" s="10"/>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row>
    <row r="202" spans="1:39" s="81" customFormat="1" ht="19" thickBot="1" x14ac:dyDescent="0.5">
      <c r="A202" s="111" t="s">
        <v>158</v>
      </c>
      <c r="B202" s="81" t="s">
        <v>76</v>
      </c>
      <c r="C202" s="130">
        <f>SUM(D202:AM202)</f>
        <v>-1006545.6346638316</v>
      </c>
      <c r="D202" s="129">
        <f t="shared" ref="D202:AM202" si="450">D189*D200</f>
        <v>-928681.19191620627</v>
      </c>
      <c r="E202" s="129">
        <f t="shared" si="450"/>
        <v>-337465.84505133855</v>
      </c>
      <c r="F202" s="129">
        <f t="shared" si="450"/>
        <v>-237026.05446977247</v>
      </c>
      <c r="G202" s="129">
        <f t="shared" si="450"/>
        <v>-235846.82036793284</v>
      </c>
      <c r="H202" s="129">
        <f t="shared" si="450"/>
        <v>-234673.45310242075</v>
      </c>
      <c r="I202" s="129">
        <f t="shared" si="450"/>
        <v>-209182.38978864209</v>
      </c>
      <c r="J202" s="129">
        <f t="shared" si="450"/>
        <v>-47049.701000708119</v>
      </c>
      <c r="K202" s="129">
        <f t="shared" si="450"/>
        <v>23696.796769596865</v>
      </c>
      <c r="L202" s="129">
        <f t="shared" si="450"/>
        <v>139238.61492285685</v>
      </c>
      <c r="M202" s="129">
        <f t="shared" si="450"/>
        <v>82091.430300317574</v>
      </c>
      <c r="N202" s="129">
        <f t="shared" si="450"/>
        <v>16859.770898749764</v>
      </c>
      <c r="O202" s="129">
        <f t="shared" si="450"/>
        <v>-26439.20067310529</v>
      </c>
      <c r="P202" s="129">
        <f t="shared" si="450"/>
        <v>-26307.662361298797</v>
      </c>
      <c r="Q202" s="129">
        <f t="shared" si="450"/>
        <v>-26176.778468954028</v>
      </c>
      <c r="R202" s="129">
        <f t="shared" si="450"/>
        <v>-22511.657389789892</v>
      </c>
      <c r="S202" s="129">
        <f t="shared" si="450"/>
        <v>67939.461881114185</v>
      </c>
      <c r="T202" s="129">
        <f t="shared" si="450"/>
        <v>123085.08058032104</v>
      </c>
      <c r="U202" s="129">
        <f t="shared" si="450"/>
        <v>141567.08735995161</v>
      </c>
      <c r="V202" s="129">
        <f t="shared" si="450"/>
        <v>140871.16820800261</v>
      </c>
      <c r="W202" s="129">
        <f t="shared" si="450"/>
        <v>109184.28392731247</v>
      </c>
      <c r="X202" s="129">
        <f t="shared" si="450"/>
        <v>46969.025693218886</v>
      </c>
      <c r="Y202" s="129">
        <f t="shared" si="450"/>
        <v>16056.406576603766</v>
      </c>
      <c r="Z202" s="129">
        <f t="shared" si="450"/>
        <v>-21631.118498898875</v>
      </c>
      <c r="AA202" s="129">
        <f t="shared" si="450"/>
        <v>-24903.22429049663</v>
      </c>
      <c r="AB202" s="129">
        <f t="shared" si="450"/>
        <v>-24779.327652235457</v>
      </c>
      <c r="AC202" s="129">
        <f t="shared" si="450"/>
        <v>-24656.047415159661</v>
      </c>
      <c r="AD202" s="129">
        <f t="shared" si="450"/>
        <v>-21203.850300172846</v>
      </c>
      <c r="AE202" s="129">
        <f t="shared" si="450"/>
        <v>63992.541919850628</v>
      </c>
      <c r="AF202" s="129">
        <f t="shared" si="450"/>
        <v>123351.67704104075</v>
      </c>
      <c r="AG202" s="129">
        <f t="shared" si="450"/>
        <v>133424.07877833414</v>
      </c>
      <c r="AH202" s="129">
        <f t="shared" si="450"/>
        <v>132765.75415471979</v>
      </c>
      <c r="AI202" s="129">
        <f t="shared" si="450"/>
        <v>102916.95303912692</v>
      </c>
      <c r="AJ202" s="129">
        <f t="shared" si="450"/>
        <v>44313.390446630445</v>
      </c>
      <c r="AK202" s="129">
        <f t="shared" si="450"/>
        <v>15194.025716558808</v>
      </c>
      <c r="AL202" s="129">
        <f t="shared" si="450"/>
        <v>-20374.466017059091</v>
      </c>
      <c r="AM202" s="129">
        <f t="shared" si="450"/>
        <v>-61154.394113947368</v>
      </c>
    </row>
    <row r="203" spans="1:39" s="81" customFormat="1" ht="13.5" thickBot="1" x14ac:dyDescent="0.35">
      <c r="A203" s="76" t="s">
        <v>159</v>
      </c>
      <c r="B203" s="81" t="s">
        <v>76</v>
      </c>
      <c r="C203" s="78"/>
      <c r="D203" s="86">
        <f>D202</f>
        <v>-928681.19191620627</v>
      </c>
      <c r="E203" s="78">
        <f>D203+E202</f>
        <v>-1266147.0369675448</v>
      </c>
      <c r="F203" s="78">
        <f t="shared" ref="F203" si="451">E203+F202</f>
        <v>-1503173.0914373172</v>
      </c>
      <c r="G203" s="78">
        <f>F203+G202</f>
        <v>-1739019.91180525</v>
      </c>
      <c r="H203" s="78">
        <f t="shared" ref="H203:Y203" si="452">G203+H202</f>
        <v>-1973693.3649076708</v>
      </c>
      <c r="I203" s="78">
        <f t="shared" si="452"/>
        <v>-2182875.7546963128</v>
      </c>
      <c r="J203" s="78">
        <f t="shared" si="452"/>
        <v>-2229925.455697021</v>
      </c>
      <c r="K203" s="78">
        <f t="shared" si="452"/>
        <v>-2206228.6589274243</v>
      </c>
      <c r="L203" s="78">
        <f t="shared" si="452"/>
        <v>-2066990.0440045674</v>
      </c>
      <c r="M203" s="78">
        <f t="shared" si="452"/>
        <v>-1984898.61370425</v>
      </c>
      <c r="N203" s="78">
        <f t="shared" si="452"/>
        <v>-1968038.8428055001</v>
      </c>
      <c r="O203" s="78">
        <f t="shared" si="452"/>
        <v>-1994478.0434786053</v>
      </c>
      <c r="P203" s="78">
        <f t="shared" si="452"/>
        <v>-2020785.705839904</v>
      </c>
      <c r="Q203" s="78">
        <f t="shared" si="452"/>
        <v>-2046962.4843088579</v>
      </c>
      <c r="R203" s="78">
        <f t="shared" si="452"/>
        <v>-2069474.1416986478</v>
      </c>
      <c r="S203" s="78">
        <f t="shared" si="452"/>
        <v>-2001534.6798175336</v>
      </c>
      <c r="T203" s="78">
        <f t="shared" si="452"/>
        <v>-1878449.5992372124</v>
      </c>
      <c r="U203" s="78">
        <f t="shared" si="452"/>
        <v>-1736882.5118772609</v>
      </c>
      <c r="V203" s="78">
        <f t="shared" si="452"/>
        <v>-1596011.3436692583</v>
      </c>
      <c r="W203" s="78">
        <f t="shared" si="452"/>
        <v>-1486827.0597419459</v>
      </c>
      <c r="X203" s="78">
        <f t="shared" si="452"/>
        <v>-1439858.034048727</v>
      </c>
      <c r="Y203" s="78">
        <f t="shared" si="452"/>
        <v>-1423801.6274721234</v>
      </c>
      <c r="Z203" s="78">
        <f t="shared" ref="Z203" si="453">Y203+Z202</f>
        <v>-1445432.7459710222</v>
      </c>
      <c r="AA203" s="78">
        <f t="shared" ref="AA203" si="454">Z203+AA202</f>
        <v>-1470335.9702615188</v>
      </c>
      <c r="AB203" s="78">
        <f t="shared" ref="AB203" si="455">AA203+AB202</f>
        <v>-1495115.2979137544</v>
      </c>
      <c r="AC203" s="78">
        <f t="shared" ref="AC203" si="456">AB203+AC202</f>
        <v>-1519771.345328914</v>
      </c>
      <c r="AD203" s="78">
        <f t="shared" ref="AD203" si="457">AC203+AD202</f>
        <v>-1540975.1956290868</v>
      </c>
      <c r="AE203" s="78">
        <f t="shared" ref="AE203" si="458">AD203+AE202</f>
        <v>-1476982.6537092361</v>
      </c>
      <c r="AF203" s="78">
        <f t="shared" ref="AF203" si="459">AE203+AF202</f>
        <v>-1353630.9766681953</v>
      </c>
      <c r="AG203" s="78">
        <f t="shared" ref="AG203" si="460">AF203+AG202</f>
        <v>-1220206.8978898611</v>
      </c>
      <c r="AH203" s="78">
        <f t="shared" ref="AH203" si="461">AG203+AH202</f>
        <v>-1087441.1437351413</v>
      </c>
      <c r="AI203" s="78">
        <f t="shared" ref="AI203" si="462">AH203+AI202</f>
        <v>-984524.19069601432</v>
      </c>
      <c r="AJ203" s="78">
        <f t="shared" ref="AJ203" si="463">AI203+AJ202</f>
        <v>-940210.8002493839</v>
      </c>
      <c r="AK203" s="78">
        <f t="shared" ref="AK203" si="464">AJ203+AK202</f>
        <v>-925016.7745328251</v>
      </c>
      <c r="AL203" s="78">
        <f t="shared" ref="AL203" si="465">AK203+AL202</f>
        <v>-945391.24054988415</v>
      </c>
      <c r="AM203" s="78">
        <f t="shared" ref="AM203" si="466">AL203+AM202</f>
        <v>-1006545.6346638316</v>
      </c>
    </row>
    <row r="204" spans="1:39" s="81" customFormat="1" ht="18.5" x14ac:dyDescent="0.45">
      <c r="A204" s="82" t="s">
        <v>138</v>
      </c>
      <c r="B204" s="81" t="s">
        <v>76</v>
      </c>
      <c r="C204" s="130">
        <f>SUM(D202:AM202)</f>
        <v>-1006545.6346638316</v>
      </c>
      <c r="D204" s="80"/>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row>
    <row r="205" spans="1:39" ht="205.5" customHeight="1" x14ac:dyDescent="0.35">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row>
    <row r="206" spans="1:39" ht="45" customHeight="1" x14ac:dyDescent="0.35">
      <c r="A206" s="19" t="s">
        <v>17</v>
      </c>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row>
    <row r="207" spans="1:39" s="28" customFormat="1" ht="21.65" customHeight="1" x14ac:dyDescent="0.35">
      <c r="A207" s="28" t="str">
        <f>'start up campsite'!A$56</f>
        <v>Months --&gt;</v>
      </c>
      <c r="B207" s="18" t="str">
        <f>'start up campsite'!B$56</f>
        <v>Units</v>
      </c>
      <c r="C207" s="34" t="str">
        <f>'start up campsite'!C$56</f>
        <v>Total</v>
      </c>
      <c r="D207" s="17">
        <f>'start up campsite'!D$56</f>
        <v>46388</v>
      </c>
      <c r="E207" s="17">
        <f>'start up campsite'!E$56</f>
        <v>46419</v>
      </c>
      <c r="F207" s="17">
        <f>'start up campsite'!F$56</f>
        <v>46447</v>
      </c>
      <c r="G207" s="17">
        <f>'start up campsite'!G$56</f>
        <v>46478</v>
      </c>
      <c r="H207" s="17">
        <f>'start up campsite'!H$56</f>
        <v>46508</v>
      </c>
      <c r="I207" s="17">
        <f>'start up campsite'!I$56</f>
        <v>46539</v>
      </c>
      <c r="J207" s="17">
        <f>'start up campsite'!J$56</f>
        <v>46569</v>
      </c>
      <c r="K207" s="17">
        <f>'start up campsite'!K$56</f>
        <v>46600</v>
      </c>
      <c r="L207" s="17">
        <f>'start up campsite'!L$56</f>
        <v>46631</v>
      </c>
      <c r="M207" s="17">
        <f>'start up campsite'!M$56</f>
        <v>46661</v>
      </c>
      <c r="N207" s="17">
        <f>'start up campsite'!N$56</f>
        <v>46692</v>
      </c>
      <c r="O207" s="17">
        <f>'start up campsite'!O$56</f>
        <v>46722</v>
      </c>
      <c r="P207" s="17">
        <f>'start up campsite'!P$56</f>
        <v>46753</v>
      </c>
      <c r="Q207" s="17">
        <f>'start up campsite'!Q$56</f>
        <v>46784</v>
      </c>
      <c r="R207" s="17">
        <f>'start up campsite'!R$56</f>
        <v>46813</v>
      </c>
      <c r="S207" s="17">
        <f>'start up campsite'!S$56</f>
        <v>46844</v>
      </c>
      <c r="T207" s="17">
        <f>'start up campsite'!T$56</f>
        <v>46874</v>
      </c>
      <c r="U207" s="17">
        <f>'start up campsite'!U$56</f>
        <v>46905</v>
      </c>
      <c r="V207" s="17">
        <f>'start up campsite'!V$56</f>
        <v>46935</v>
      </c>
      <c r="W207" s="17">
        <f>'start up campsite'!W$56</f>
        <v>46966</v>
      </c>
      <c r="X207" s="17">
        <f>'start up campsite'!X$56</f>
        <v>46997</v>
      </c>
      <c r="Y207" s="17">
        <f>'start up campsite'!Y$56</f>
        <v>47027</v>
      </c>
      <c r="Z207" s="17">
        <f>'start up campsite'!Z$56</f>
        <v>47058</v>
      </c>
      <c r="AA207" s="17">
        <f>'start up campsite'!AA$56</f>
        <v>47088</v>
      </c>
      <c r="AB207" s="17">
        <f>'start up campsite'!AB$56</f>
        <v>47119</v>
      </c>
      <c r="AC207" s="17">
        <f>'start up campsite'!AC$56</f>
        <v>47150</v>
      </c>
      <c r="AD207" s="17">
        <f>'start up campsite'!AD$56</f>
        <v>47178</v>
      </c>
      <c r="AE207" s="17">
        <f>'start up campsite'!AE$56</f>
        <v>47209</v>
      </c>
      <c r="AF207" s="17">
        <f>'start up campsite'!AF$56</f>
        <v>47239</v>
      </c>
      <c r="AG207" s="17">
        <f>'start up campsite'!AG$56</f>
        <v>47270</v>
      </c>
      <c r="AH207" s="17">
        <f>'start up campsite'!AH$56</f>
        <v>47300</v>
      </c>
      <c r="AI207" s="17">
        <f>'start up campsite'!AI$56</f>
        <v>47331</v>
      </c>
      <c r="AJ207" s="17">
        <f>'start up campsite'!AJ$56</f>
        <v>47362</v>
      </c>
      <c r="AK207" s="17">
        <f>'start up campsite'!AK$56</f>
        <v>47392</v>
      </c>
      <c r="AL207" s="17">
        <f>'start up campsite'!AL$56</f>
        <v>47423</v>
      </c>
      <c r="AM207" s="17">
        <f>'start up campsite'!AM$56</f>
        <v>47453</v>
      </c>
    </row>
    <row r="208" spans="1:39" x14ac:dyDescent="0.35">
      <c r="A208" s="12" t="str">
        <f>A63</f>
        <v>Cashstream 1: Revenue</v>
      </c>
      <c r="C208" s="13">
        <f t="shared" ref="C208:C214" si="467">SUM(D208:AM208)</f>
        <v>3782000</v>
      </c>
      <c r="D208" s="13">
        <f t="shared" ref="D208:AM208" si="468">D63</f>
        <v>0</v>
      </c>
      <c r="E208" s="13">
        <f t="shared" si="468"/>
        <v>0</v>
      </c>
      <c r="F208" s="13">
        <f t="shared" si="468"/>
        <v>0</v>
      </c>
      <c r="G208" s="13">
        <f t="shared" si="468"/>
        <v>0</v>
      </c>
      <c r="H208" s="13">
        <f t="shared" si="468"/>
        <v>0</v>
      </c>
      <c r="I208" s="13">
        <f t="shared" si="468"/>
        <v>0</v>
      </c>
      <c r="J208" s="13">
        <f t="shared" si="468"/>
        <v>24400</v>
      </c>
      <c r="K208" s="13">
        <f t="shared" si="468"/>
        <v>97600</v>
      </c>
      <c r="L208" s="13">
        <f t="shared" si="468"/>
        <v>244000</v>
      </c>
      <c r="M208" s="13">
        <f t="shared" si="468"/>
        <v>195200</v>
      </c>
      <c r="N208" s="13">
        <f t="shared" si="468"/>
        <v>97600</v>
      </c>
      <c r="O208" s="13">
        <f t="shared" si="468"/>
        <v>0</v>
      </c>
      <c r="P208" s="13">
        <f t="shared" si="468"/>
        <v>0</v>
      </c>
      <c r="Q208" s="13">
        <f t="shared" si="468"/>
        <v>0</v>
      </c>
      <c r="R208" s="13">
        <f t="shared" si="468"/>
        <v>48800</v>
      </c>
      <c r="S208" s="13">
        <f t="shared" si="468"/>
        <v>146400</v>
      </c>
      <c r="T208" s="13">
        <f t="shared" si="468"/>
        <v>244000</v>
      </c>
      <c r="U208" s="13">
        <f t="shared" si="468"/>
        <v>292800</v>
      </c>
      <c r="V208" s="13">
        <f t="shared" si="468"/>
        <v>292800</v>
      </c>
      <c r="W208" s="13">
        <f t="shared" si="468"/>
        <v>244000</v>
      </c>
      <c r="X208" s="13">
        <f t="shared" si="468"/>
        <v>146400</v>
      </c>
      <c r="Y208" s="13">
        <f t="shared" si="468"/>
        <v>97600</v>
      </c>
      <c r="Z208" s="13">
        <f t="shared" si="468"/>
        <v>48800</v>
      </c>
      <c r="AA208" s="13">
        <f t="shared" si="468"/>
        <v>0</v>
      </c>
      <c r="AB208" s="13">
        <f t="shared" si="468"/>
        <v>0</v>
      </c>
      <c r="AC208" s="13">
        <f t="shared" si="468"/>
        <v>0</v>
      </c>
      <c r="AD208" s="13">
        <f t="shared" si="468"/>
        <v>48800</v>
      </c>
      <c r="AE208" s="13">
        <f t="shared" si="468"/>
        <v>146400</v>
      </c>
      <c r="AF208" s="13">
        <f t="shared" si="468"/>
        <v>244000</v>
      </c>
      <c r="AG208" s="13">
        <f t="shared" si="468"/>
        <v>292800</v>
      </c>
      <c r="AH208" s="13">
        <f t="shared" si="468"/>
        <v>292800</v>
      </c>
      <c r="AI208" s="13">
        <f t="shared" si="468"/>
        <v>244000</v>
      </c>
      <c r="AJ208" s="13">
        <f t="shared" si="468"/>
        <v>146400</v>
      </c>
      <c r="AK208" s="13">
        <f t="shared" si="468"/>
        <v>97600</v>
      </c>
      <c r="AL208" s="13">
        <f t="shared" si="468"/>
        <v>48800</v>
      </c>
      <c r="AM208" s="13">
        <f t="shared" si="468"/>
        <v>0</v>
      </c>
    </row>
    <row r="209" spans="1:39" x14ac:dyDescent="0.35">
      <c r="A209" s="12" t="str">
        <f>A92</f>
        <v>Cashstream 2: Capital Costs</v>
      </c>
      <c r="C209" s="13">
        <f t="shared" si="467"/>
        <v>-2506000</v>
      </c>
      <c r="D209" s="13">
        <f t="shared" ref="D209:AM209" si="469">-D92</f>
        <v>-931000</v>
      </c>
      <c r="E209" s="13">
        <f t="shared" si="469"/>
        <v>-340000</v>
      </c>
      <c r="F209" s="13">
        <f t="shared" si="469"/>
        <v>-240000</v>
      </c>
      <c r="G209" s="13">
        <f t="shared" si="469"/>
        <v>-240000</v>
      </c>
      <c r="H209" s="13">
        <f t="shared" si="469"/>
        <v>-240000</v>
      </c>
      <c r="I209" s="13">
        <f t="shared" si="469"/>
        <v>-215000</v>
      </c>
      <c r="J209" s="13">
        <f t="shared" si="469"/>
        <v>-10000</v>
      </c>
      <c r="K209" s="13">
        <f t="shared" si="469"/>
        <v>-10000</v>
      </c>
      <c r="L209" s="13">
        <f t="shared" si="469"/>
        <v>-10000</v>
      </c>
      <c r="M209" s="13">
        <f t="shared" si="469"/>
        <v>-10000</v>
      </c>
      <c r="N209" s="13">
        <f t="shared" si="469"/>
        <v>-10000</v>
      </c>
      <c r="O209" s="13">
        <f t="shared" si="469"/>
        <v>-10000</v>
      </c>
      <c r="P209" s="13">
        <f t="shared" si="469"/>
        <v>-10000</v>
      </c>
      <c r="Q209" s="13">
        <f t="shared" si="469"/>
        <v>-10000</v>
      </c>
      <c r="R209" s="13">
        <f t="shared" si="469"/>
        <v>-10000</v>
      </c>
      <c r="S209" s="13">
        <f t="shared" si="469"/>
        <v>-10000</v>
      </c>
      <c r="T209" s="13">
        <f t="shared" si="469"/>
        <v>-10000</v>
      </c>
      <c r="U209" s="13">
        <f t="shared" si="469"/>
        <v>-10000</v>
      </c>
      <c r="V209" s="13">
        <f t="shared" si="469"/>
        <v>-10000</v>
      </c>
      <c r="W209" s="13">
        <f t="shared" si="469"/>
        <v>-10000</v>
      </c>
      <c r="X209" s="13">
        <f t="shared" si="469"/>
        <v>-10000</v>
      </c>
      <c r="Y209" s="13">
        <f t="shared" si="469"/>
        <v>-10000</v>
      </c>
      <c r="Z209" s="13">
        <f t="shared" si="469"/>
        <v>-10000</v>
      </c>
      <c r="AA209" s="13">
        <f t="shared" si="469"/>
        <v>-10000</v>
      </c>
      <c r="AB209" s="13">
        <f t="shared" si="469"/>
        <v>-10000</v>
      </c>
      <c r="AC209" s="13">
        <f t="shared" si="469"/>
        <v>-10000</v>
      </c>
      <c r="AD209" s="13">
        <f t="shared" si="469"/>
        <v>-10000</v>
      </c>
      <c r="AE209" s="13">
        <f t="shared" si="469"/>
        <v>-10000</v>
      </c>
      <c r="AF209" s="13">
        <f t="shared" si="469"/>
        <v>-10000</v>
      </c>
      <c r="AG209" s="13">
        <f t="shared" si="469"/>
        <v>-10000</v>
      </c>
      <c r="AH209" s="13">
        <f t="shared" si="469"/>
        <v>-10000</v>
      </c>
      <c r="AI209" s="13">
        <f t="shared" si="469"/>
        <v>-10000</v>
      </c>
      <c r="AJ209" s="13">
        <f t="shared" si="469"/>
        <v>-10000</v>
      </c>
      <c r="AK209" s="13">
        <f t="shared" si="469"/>
        <v>-10000</v>
      </c>
      <c r="AL209" s="13">
        <f t="shared" si="469"/>
        <v>-10000</v>
      </c>
      <c r="AM209" s="13">
        <f t="shared" si="469"/>
        <v>-10000</v>
      </c>
    </row>
    <row r="210" spans="1:39" x14ac:dyDescent="0.35">
      <c r="A210" s="12" t="str">
        <f>A117</f>
        <v>Cashstream 3: Operating Costs</v>
      </c>
      <c r="C210" s="13">
        <f t="shared" si="467"/>
        <v>-1620000</v>
      </c>
      <c r="D210" s="13">
        <f t="shared" ref="D210:AM210" si="470">-D117</f>
        <v>0</v>
      </c>
      <c r="E210" s="13">
        <f t="shared" si="470"/>
        <v>0</v>
      </c>
      <c r="F210" s="13">
        <f t="shared" si="470"/>
        <v>0</v>
      </c>
      <c r="G210" s="13">
        <f t="shared" si="470"/>
        <v>0</v>
      </c>
      <c r="H210" s="13">
        <f t="shared" si="470"/>
        <v>0</v>
      </c>
      <c r="I210" s="13">
        <f t="shared" si="470"/>
        <v>0</v>
      </c>
      <c r="J210" s="13">
        <f t="shared" si="470"/>
        <v>-63000</v>
      </c>
      <c r="K210" s="13">
        <f t="shared" si="470"/>
        <v>-63000</v>
      </c>
      <c r="L210" s="13">
        <f t="shared" si="470"/>
        <v>-63000</v>
      </c>
      <c r="M210" s="13">
        <f t="shared" si="470"/>
        <v>-63000</v>
      </c>
      <c r="N210" s="13">
        <f t="shared" si="470"/>
        <v>-63000</v>
      </c>
      <c r="O210" s="13">
        <f t="shared" si="470"/>
        <v>-18000</v>
      </c>
      <c r="P210" s="13">
        <f t="shared" si="470"/>
        <v>-18000</v>
      </c>
      <c r="Q210" s="13">
        <f t="shared" si="470"/>
        <v>-18000</v>
      </c>
      <c r="R210" s="13">
        <f t="shared" si="470"/>
        <v>-63000</v>
      </c>
      <c r="S210" s="13">
        <f t="shared" si="470"/>
        <v>-63000</v>
      </c>
      <c r="T210" s="13">
        <f t="shared" si="470"/>
        <v>-63000</v>
      </c>
      <c r="U210" s="13">
        <f t="shared" si="470"/>
        <v>-63000</v>
      </c>
      <c r="V210" s="13">
        <f t="shared" si="470"/>
        <v>-63000</v>
      </c>
      <c r="W210" s="13">
        <f t="shared" si="470"/>
        <v>-63000</v>
      </c>
      <c r="X210" s="13">
        <f t="shared" si="470"/>
        <v>-63000</v>
      </c>
      <c r="Y210" s="13">
        <f t="shared" si="470"/>
        <v>-63000</v>
      </c>
      <c r="Z210" s="13">
        <f t="shared" si="470"/>
        <v>-63000</v>
      </c>
      <c r="AA210" s="13">
        <f t="shared" si="470"/>
        <v>-18000</v>
      </c>
      <c r="AB210" s="13">
        <f t="shared" si="470"/>
        <v>-18000</v>
      </c>
      <c r="AC210" s="13">
        <f t="shared" si="470"/>
        <v>-18000</v>
      </c>
      <c r="AD210" s="13">
        <f t="shared" si="470"/>
        <v>-63000</v>
      </c>
      <c r="AE210" s="13">
        <f t="shared" si="470"/>
        <v>-63000</v>
      </c>
      <c r="AF210" s="13">
        <f t="shared" si="470"/>
        <v>-63000</v>
      </c>
      <c r="AG210" s="13">
        <f t="shared" si="470"/>
        <v>-63000</v>
      </c>
      <c r="AH210" s="13">
        <f t="shared" si="470"/>
        <v>-63000</v>
      </c>
      <c r="AI210" s="13">
        <f t="shared" si="470"/>
        <v>-63000</v>
      </c>
      <c r="AJ210" s="13">
        <f t="shared" si="470"/>
        <v>-63000</v>
      </c>
      <c r="AK210" s="13">
        <f t="shared" si="470"/>
        <v>-63000</v>
      </c>
      <c r="AL210" s="13">
        <f t="shared" si="470"/>
        <v>-63000</v>
      </c>
      <c r="AM210" s="13">
        <f t="shared" si="470"/>
        <v>-63000</v>
      </c>
    </row>
    <row r="211" spans="1:39" x14ac:dyDescent="0.35">
      <c r="A211" s="12" t="str">
        <f>A180</f>
        <v>Cashstream 4: Income Tax (indicative)</v>
      </c>
      <c r="C211" s="13">
        <f t="shared" si="467"/>
        <v>-553206.82726297516</v>
      </c>
      <c r="D211" s="13">
        <f t="shared" ref="D211:AM211" si="471">-D180</f>
        <v>0</v>
      </c>
      <c r="E211" s="13">
        <f t="shared" si="471"/>
        <v>0</v>
      </c>
      <c r="F211" s="13">
        <f t="shared" si="471"/>
        <v>0</v>
      </c>
      <c r="G211" s="13">
        <f t="shared" si="471"/>
        <v>0</v>
      </c>
      <c r="H211" s="13">
        <f t="shared" si="471"/>
        <v>0</v>
      </c>
      <c r="I211" s="13">
        <f t="shared" si="471"/>
        <v>0</v>
      </c>
      <c r="J211" s="13">
        <f t="shared" si="471"/>
        <v>0</v>
      </c>
      <c r="K211" s="13">
        <f t="shared" si="471"/>
        <v>0</v>
      </c>
      <c r="L211" s="13">
        <f t="shared" si="471"/>
        <v>-25731.577849610261</v>
      </c>
      <c r="M211" s="13">
        <f t="shared" si="471"/>
        <v>-36125.321497956036</v>
      </c>
      <c r="N211" s="13">
        <f t="shared" si="471"/>
        <v>-6833.7684799603185</v>
      </c>
      <c r="O211" s="13">
        <f t="shared" si="471"/>
        <v>0</v>
      </c>
      <c r="P211" s="13">
        <f t="shared" si="471"/>
        <v>0</v>
      </c>
      <c r="Q211" s="13">
        <f t="shared" si="471"/>
        <v>0</v>
      </c>
      <c r="R211" s="13">
        <f t="shared" si="471"/>
        <v>0</v>
      </c>
      <c r="S211" s="13">
        <f t="shared" si="471"/>
        <v>0</v>
      </c>
      <c r="T211" s="13">
        <f t="shared" si="471"/>
        <v>-37357.240876344185</v>
      </c>
      <c r="U211" s="13">
        <f t="shared" si="471"/>
        <v>-65321.381250954415</v>
      </c>
      <c r="V211" s="13">
        <f t="shared" si="471"/>
        <v>-65312.175099285247</v>
      </c>
      <c r="W211" s="13">
        <f t="shared" si="471"/>
        <v>-50663.234389250101</v>
      </c>
      <c r="X211" s="13">
        <f t="shared" si="471"/>
        <v>-21374.553345325581</v>
      </c>
      <c r="Y211" s="13">
        <f t="shared" si="471"/>
        <v>-6726.1263131299811</v>
      </c>
      <c r="Z211" s="13">
        <f t="shared" si="471"/>
        <v>0</v>
      </c>
      <c r="AA211" s="13">
        <f t="shared" si="471"/>
        <v>0</v>
      </c>
      <c r="AB211" s="13">
        <f t="shared" si="471"/>
        <v>0</v>
      </c>
      <c r="AC211" s="13">
        <f t="shared" si="471"/>
        <v>0</v>
      </c>
      <c r="AD211" s="13">
        <f t="shared" si="471"/>
        <v>0</v>
      </c>
      <c r="AE211" s="13">
        <f t="shared" si="471"/>
        <v>0</v>
      </c>
      <c r="AF211" s="13">
        <f t="shared" si="471"/>
        <v>-28807.130529630762</v>
      </c>
      <c r="AG211" s="13">
        <f t="shared" si="471"/>
        <v>-65227.213975552142</v>
      </c>
      <c r="AH211" s="13">
        <f t="shared" si="471"/>
        <v>-65220.837380196332</v>
      </c>
      <c r="AI211" s="13">
        <f t="shared" si="471"/>
        <v>-50574.664384924436</v>
      </c>
      <c r="AJ211" s="13">
        <f t="shared" si="471"/>
        <v>-21288.690512220212</v>
      </c>
      <c r="AK211" s="13">
        <f t="shared" si="471"/>
        <v>-6642.9113786351572</v>
      </c>
      <c r="AL211" s="13">
        <f t="shared" si="471"/>
        <v>0</v>
      </c>
      <c r="AM211" s="13">
        <f t="shared" si="471"/>
        <v>0</v>
      </c>
    </row>
    <row r="212" spans="1:39" x14ac:dyDescent="0.35">
      <c r="A212" s="7" t="s">
        <v>18</v>
      </c>
      <c r="C212" s="13">
        <f t="shared" si="467"/>
        <v>1695193.1727370245</v>
      </c>
      <c r="D212" s="13">
        <f>IF(SUM(D208:D211)&gt;0,SUM(D208:D211),0)</f>
        <v>0</v>
      </c>
      <c r="E212" s="13">
        <f t="shared" ref="E212:G212" si="472">IF(SUM(E208:E211)&gt;0,SUM(E208:E211),0)</f>
        <v>0</v>
      </c>
      <c r="F212" s="13">
        <f t="shared" si="472"/>
        <v>0</v>
      </c>
      <c r="G212" s="13">
        <f t="shared" si="472"/>
        <v>0</v>
      </c>
      <c r="H212" s="13">
        <f t="shared" ref="H212:Y212" si="473">IF(SUM(H208:H211)&gt;0,SUM(H208:H211),0)</f>
        <v>0</v>
      </c>
      <c r="I212" s="13">
        <f t="shared" si="473"/>
        <v>0</v>
      </c>
      <c r="J212" s="13">
        <f t="shared" si="473"/>
        <v>0</v>
      </c>
      <c r="K212" s="13">
        <f t="shared" si="473"/>
        <v>24600</v>
      </c>
      <c r="L212" s="13">
        <f t="shared" si="473"/>
        <v>145268.42215038973</v>
      </c>
      <c r="M212" s="13">
        <f t="shared" si="473"/>
        <v>86074.678502043971</v>
      </c>
      <c r="N212" s="13">
        <f t="shared" si="473"/>
        <v>17766.231520039681</v>
      </c>
      <c r="O212" s="13">
        <f t="shared" si="473"/>
        <v>0</v>
      </c>
      <c r="P212" s="13">
        <f t="shared" si="473"/>
        <v>0</v>
      </c>
      <c r="Q212" s="13">
        <f t="shared" si="473"/>
        <v>0</v>
      </c>
      <c r="R212" s="13">
        <f t="shared" si="473"/>
        <v>0</v>
      </c>
      <c r="S212" s="13">
        <f t="shared" si="473"/>
        <v>73400</v>
      </c>
      <c r="T212" s="13">
        <f t="shared" si="473"/>
        <v>133642.75912365582</v>
      </c>
      <c r="U212" s="13">
        <f t="shared" si="473"/>
        <v>154478.61874904559</v>
      </c>
      <c r="V212" s="13">
        <f t="shared" si="473"/>
        <v>154487.82490071474</v>
      </c>
      <c r="W212" s="13">
        <f t="shared" si="473"/>
        <v>120336.76561074989</v>
      </c>
      <c r="X212" s="13">
        <f t="shared" si="473"/>
        <v>52025.446654674422</v>
      </c>
      <c r="Y212" s="13">
        <f t="shared" si="473"/>
        <v>17873.873686870018</v>
      </c>
      <c r="Z212" s="13">
        <f t="shared" ref="Z212:AM212" si="474">IF(SUM(Z208:Z211)&gt;0,SUM(Z208:Z211),0)</f>
        <v>0</v>
      </c>
      <c r="AA212" s="13">
        <f t="shared" si="474"/>
        <v>0</v>
      </c>
      <c r="AB212" s="13">
        <f t="shared" si="474"/>
        <v>0</v>
      </c>
      <c r="AC212" s="13">
        <f t="shared" si="474"/>
        <v>0</v>
      </c>
      <c r="AD212" s="13">
        <f t="shared" si="474"/>
        <v>0</v>
      </c>
      <c r="AE212" s="13">
        <f t="shared" si="474"/>
        <v>73400</v>
      </c>
      <c r="AF212" s="13">
        <f t="shared" si="474"/>
        <v>142192.86947036925</v>
      </c>
      <c r="AG212" s="13">
        <f t="shared" si="474"/>
        <v>154572.78602444785</v>
      </c>
      <c r="AH212" s="13">
        <f t="shared" si="474"/>
        <v>154579.16261980368</v>
      </c>
      <c r="AI212" s="13">
        <f t="shared" si="474"/>
        <v>120425.33561507557</v>
      </c>
      <c r="AJ212" s="13">
        <f t="shared" si="474"/>
        <v>52111.309487779785</v>
      </c>
      <c r="AK212" s="13">
        <f t="shared" si="474"/>
        <v>17957.088621364841</v>
      </c>
      <c r="AL212" s="13">
        <f t="shared" si="474"/>
        <v>0</v>
      </c>
      <c r="AM212" s="13">
        <f t="shared" si="474"/>
        <v>0</v>
      </c>
    </row>
    <row r="213" spans="1:39" x14ac:dyDescent="0.35">
      <c r="A213" s="7" t="s">
        <v>152</v>
      </c>
      <c r="C213" s="13">
        <f t="shared" si="467"/>
        <v>2592400</v>
      </c>
      <c r="D213" s="13">
        <f>IF(SUM(D208:D211)&lt;0,-SUM(D208:D211),0)</f>
        <v>931000</v>
      </c>
      <c r="E213" s="13">
        <f t="shared" ref="E213:G213" si="475">IF(SUM(E208:E211)&lt;0,-SUM(E208:E211),0)</f>
        <v>340000</v>
      </c>
      <c r="F213" s="13">
        <f t="shared" si="475"/>
        <v>240000</v>
      </c>
      <c r="G213" s="13">
        <f t="shared" si="475"/>
        <v>240000</v>
      </c>
      <c r="H213" s="13">
        <f t="shared" ref="H213:Y213" si="476">IF(SUM(H208:H211)&lt;0,-SUM(H208:H211),0)</f>
        <v>240000</v>
      </c>
      <c r="I213" s="13">
        <f t="shared" si="476"/>
        <v>215000</v>
      </c>
      <c r="J213" s="13">
        <f t="shared" si="476"/>
        <v>48600</v>
      </c>
      <c r="K213" s="13">
        <f t="shared" si="476"/>
        <v>0</v>
      </c>
      <c r="L213" s="13">
        <f t="shared" si="476"/>
        <v>0</v>
      </c>
      <c r="M213" s="13">
        <f t="shared" si="476"/>
        <v>0</v>
      </c>
      <c r="N213" s="13">
        <f t="shared" si="476"/>
        <v>0</v>
      </c>
      <c r="O213" s="13">
        <f t="shared" si="476"/>
        <v>28000</v>
      </c>
      <c r="P213" s="13">
        <f t="shared" si="476"/>
        <v>28000</v>
      </c>
      <c r="Q213" s="13">
        <f t="shared" si="476"/>
        <v>28000</v>
      </c>
      <c r="R213" s="13">
        <f t="shared" si="476"/>
        <v>24200</v>
      </c>
      <c r="S213" s="13">
        <f t="shared" si="476"/>
        <v>0</v>
      </c>
      <c r="T213" s="13">
        <f t="shared" si="476"/>
        <v>0</v>
      </c>
      <c r="U213" s="13">
        <f t="shared" si="476"/>
        <v>0</v>
      </c>
      <c r="V213" s="13">
        <f t="shared" si="476"/>
        <v>0</v>
      </c>
      <c r="W213" s="13">
        <f t="shared" si="476"/>
        <v>0</v>
      </c>
      <c r="X213" s="13">
        <f t="shared" si="476"/>
        <v>0</v>
      </c>
      <c r="Y213" s="13">
        <f t="shared" si="476"/>
        <v>0</v>
      </c>
      <c r="Z213" s="13">
        <f t="shared" ref="Z213:AM213" si="477">IF(SUM(Z208:Z211)&lt;0,-SUM(Z208:Z211),0)</f>
        <v>24200</v>
      </c>
      <c r="AA213" s="13">
        <f t="shared" si="477"/>
        <v>28000</v>
      </c>
      <c r="AB213" s="13">
        <f t="shared" si="477"/>
        <v>28000</v>
      </c>
      <c r="AC213" s="13">
        <f t="shared" si="477"/>
        <v>28000</v>
      </c>
      <c r="AD213" s="13">
        <f t="shared" si="477"/>
        <v>24200</v>
      </c>
      <c r="AE213" s="13">
        <f t="shared" si="477"/>
        <v>0</v>
      </c>
      <c r="AF213" s="13">
        <f t="shared" si="477"/>
        <v>0</v>
      </c>
      <c r="AG213" s="13">
        <f t="shared" si="477"/>
        <v>0</v>
      </c>
      <c r="AH213" s="13">
        <f t="shared" si="477"/>
        <v>0</v>
      </c>
      <c r="AI213" s="13">
        <f t="shared" si="477"/>
        <v>0</v>
      </c>
      <c r="AJ213" s="13">
        <f t="shared" si="477"/>
        <v>0</v>
      </c>
      <c r="AK213" s="13">
        <f t="shared" si="477"/>
        <v>0</v>
      </c>
      <c r="AL213" s="13">
        <f t="shared" si="477"/>
        <v>24200</v>
      </c>
      <c r="AM213" s="13">
        <f t="shared" si="477"/>
        <v>73000</v>
      </c>
    </row>
    <row r="214" spans="1:39" x14ac:dyDescent="0.35">
      <c r="A214" s="7" t="s">
        <v>19</v>
      </c>
      <c r="C214" s="13">
        <f t="shared" si="467"/>
        <v>-897206.82726297551</v>
      </c>
      <c r="D214" s="13">
        <f>D212-D213</f>
        <v>-931000</v>
      </c>
      <c r="E214" s="13">
        <f t="shared" ref="E214:G214" si="478">E212-E213</f>
        <v>-340000</v>
      </c>
      <c r="F214" s="13">
        <f t="shared" si="478"/>
        <v>-240000</v>
      </c>
      <c r="G214" s="13">
        <f t="shared" si="478"/>
        <v>-240000</v>
      </c>
      <c r="H214" s="13">
        <f t="shared" ref="H214:Y214" si="479">H212-H213</f>
        <v>-240000</v>
      </c>
      <c r="I214" s="13">
        <f t="shared" si="479"/>
        <v>-215000</v>
      </c>
      <c r="J214" s="13">
        <f t="shared" si="479"/>
        <v>-48600</v>
      </c>
      <c r="K214" s="13">
        <f t="shared" si="479"/>
        <v>24600</v>
      </c>
      <c r="L214" s="13">
        <f t="shared" si="479"/>
        <v>145268.42215038973</v>
      </c>
      <c r="M214" s="13">
        <f t="shared" si="479"/>
        <v>86074.678502043971</v>
      </c>
      <c r="N214" s="13">
        <f t="shared" si="479"/>
        <v>17766.231520039681</v>
      </c>
      <c r="O214" s="13">
        <f t="shared" si="479"/>
        <v>-28000</v>
      </c>
      <c r="P214" s="13">
        <f t="shared" si="479"/>
        <v>-28000</v>
      </c>
      <c r="Q214" s="13">
        <f t="shared" si="479"/>
        <v>-28000</v>
      </c>
      <c r="R214" s="13">
        <f t="shared" si="479"/>
        <v>-24200</v>
      </c>
      <c r="S214" s="13">
        <f t="shared" si="479"/>
        <v>73400</v>
      </c>
      <c r="T214" s="13">
        <f t="shared" si="479"/>
        <v>133642.75912365582</v>
      </c>
      <c r="U214" s="13">
        <f t="shared" si="479"/>
        <v>154478.61874904559</v>
      </c>
      <c r="V214" s="13">
        <f t="shared" si="479"/>
        <v>154487.82490071474</v>
      </c>
      <c r="W214" s="13">
        <f t="shared" si="479"/>
        <v>120336.76561074989</v>
      </c>
      <c r="X214" s="13">
        <f t="shared" si="479"/>
        <v>52025.446654674422</v>
      </c>
      <c r="Y214" s="13">
        <f t="shared" si="479"/>
        <v>17873.873686870018</v>
      </c>
      <c r="Z214" s="13">
        <f t="shared" ref="Z214:AM214" si="480">Z212-Z213</f>
        <v>-24200</v>
      </c>
      <c r="AA214" s="13">
        <f t="shared" si="480"/>
        <v>-28000</v>
      </c>
      <c r="AB214" s="13">
        <f t="shared" si="480"/>
        <v>-28000</v>
      </c>
      <c r="AC214" s="13">
        <f t="shared" si="480"/>
        <v>-28000</v>
      </c>
      <c r="AD214" s="13">
        <f t="shared" si="480"/>
        <v>-24200</v>
      </c>
      <c r="AE214" s="13">
        <f t="shared" si="480"/>
        <v>73400</v>
      </c>
      <c r="AF214" s="13">
        <f t="shared" si="480"/>
        <v>142192.86947036925</v>
      </c>
      <c r="AG214" s="13">
        <f t="shared" si="480"/>
        <v>154572.78602444785</v>
      </c>
      <c r="AH214" s="13">
        <f t="shared" si="480"/>
        <v>154579.16261980368</v>
      </c>
      <c r="AI214" s="13">
        <f t="shared" si="480"/>
        <v>120425.33561507557</v>
      </c>
      <c r="AJ214" s="13">
        <f t="shared" si="480"/>
        <v>52111.309487779785</v>
      </c>
      <c r="AK214" s="13">
        <f t="shared" si="480"/>
        <v>17957.088621364841</v>
      </c>
      <c r="AL214" s="13">
        <f t="shared" si="480"/>
        <v>-24200</v>
      </c>
      <c r="AM214" s="13">
        <f t="shared" si="480"/>
        <v>-73000</v>
      </c>
    </row>
    <row r="215" spans="1:39" x14ac:dyDescent="0.35">
      <c r="A215" s="23"/>
      <c r="B215" s="23"/>
      <c r="C215" s="24"/>
      <c r="D215" s="25"/>
      <c r="E215" s="25"/>
      <c r="F215" s="25"/>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row>
    <row r="258" spans="1:4" x14ac:dyDescent="0.35">
      <c r="A258" s="22" t="s">
        <v>7</v>
      </c>
    </row>
    <row r="259" spans="1:4" x14ac:dyDescent="0.35">
      <c r="A259" s="7" t="s">
        <v>8</v>
      </c>
    </row>
    <row r="260" spans="1:4" x14ac:dyDescent="0.35">
      <c r="A260" s="26" t="s">
        <v>4</v>
      </c>
      <c r="B260" s="27" t="s">
        <v>22</v>
      </c>
      <c r="C260" s="2">
        <v>0.36</v>
      </c>
      <c r="D260" s="2">
        <v>0.36</v>
      </c>
    </row>
  </sheetData>
  <pageMargins left="0.70866141732283472" right="0.70866141732283472" top="0.74803149606299213" bottom="0.74803149606299213" header="0.31496062992125984" footer="0.31496062992125984"/>
  <pageSetup paperSize="9" scale="2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Introduction</vt:lpstr>
      <vt:lpstr>start up campsite</vt:lpstr>
      <vt:lpstr>Introduction!Print_Area</vt:lpstr>
      <vt:lpstr>'start up campsite'!Print_Area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mpcard</dc:creator>
  <cp:lastModifiedBy>Peter and Margie Card</cp:lastModifiedBy>
  <cp:lastPrinted>2011-08-03T11:26:27Z</cp:lastPrinted>
  <dcterms:created xsi:type="dcterms:W3CDTF">2009-07-21T00:07:29Z</dcterms:created>
  <dcterms:modified xsi:type="dcterms:W3CDTF">2023-09-10T06:24:47Z</dcterms:modified>
</cp:coreProperties>
</file>