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ink/ink6.xml" ContentType="application/inkml+xml"/>
  <Override PartName="/xl/ink/ink7.xml" ContentType="application/inkml+xml"/>
  <Override PartName="/xl/drawings/drawing3.xml" ContentType="application/vnd.openxmlformats-officedocument.drawing+xml"/>
  <Override PartName="/xl/charts/chart5.xml" ContentType="application/vnd.openxmlformats-officedocument.drawingml.chart+xml"/>
  <Override PartName="/xl/ink/ink8.xml" ContentType="application/inkml+xml"/>
  <Override PartName="/xl/ink/ink9.xml" ContentType="application/inkml+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autoCompressPictures="0"/>
  <mc:AlternateContent xmlns:mc="http://schemas.openxmlformats.org/markup-compatibility/2006">
    <mc:Choice Requires="x15">
      <x15ac:absPath xmlns:x15ac="http://schemas.microsoft.com/office/spreadsheetml/2010/11/ac" url="C:\Users\peter\Documents\9. PBC Eco Eval\2023 revamp of working examples\"/>
    </mc:Choice>
  </mc:AlternateContent>
  <xr:revisionPtr revIDLastSave="0" documentId="13_ncr:1_{5CD353FB-87D3-49F6-866F-AA4D8B26D0AD}" xr6:coauthVersionLast="47" xr6:coauthVersionMax="47" xr10:uidLastSave="{00000000-0000-0000-0000-000000000000}"/>
  <bookViews>
    <workbookView xWindow="-110" yWindow="-110" windowWidth="19420" windowHeight="11500" tabRatio="798" xr2:uid="{00000000-000D-0000-FFFF-FFFF00000000}"/>
  </bookViews>
  <sheets>
    <sheet name="Intro, Audits" sheetId="5" r:id="rId1"/>
    <sheet name="Sales &amp; Revenue" sheetId="6" r:id="rId2"/>
    <sheet name="Capital &amp; Operating Costs" sheetId="7" r:id="rId3"/>
    <sheet name="Taxes" sheetId="10" r:id="rId4"/>
    <sheet name="Cash Generation - before fundng" sheetId="11" r:id="rId5"/>
    <sheet name="Project funding (Nominal)" sheetId="12" r:id="rId6"/>
    <sheet name="Accounting (Nominal)" sheetId="16" r:id="rId7"/>
  </sheets>
  <definedNames>
    <definedName name="_xlnm.Print_Area" localSheetId="2">'Capital &amp; Operating Costs'!$A$1:$O$173</definedName>
    <definedName name="_xlnm.Print_Area" localSheetId="4">'Cash Generation - before fundng'!$A$1:$O$46</definedName>
    <definedName name="_xlnm.Print_Area" localSheetId="0">'Intro, Audits'!$A$1:$S$34</definedName>
    <definedName name="_xlnm.Print_Area" localSheetId="5">'Project funding (Nominal)'!$A$1:$O$23</definedName>
    <definedName name="_xlnm.Print_Area" localSheetId="1">'Sales &amp; Revenue'!$A$1:$O$96</definedName>
    <definedName name="_xlnm.Print_Area" localSheetId="3">Taxes!$A$1:$O$76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 i="16" l="1"/>
  <c r="D55" i="10"/>
  <c r="D53" i="7"/>
  <c r="E53" i="7"/>
  <c r="D61" i="7"/>
  <c r="D62" i="7"/>
  <c r="D70" i="7"/>
  <c r="D92" i="7"/>
  <c r="D54" i="7"/>
  <c r="E54" i="7"/>
  <c r="D64" i="7"/>
  <c r="D65" i="7"/>
  <c r="D71" i="7"/>
  <c r="D93" i="7"/>
  <c r="D55" i="7"/>
  <c r="E55" i="7"/>
  <c r="D67" i="7"/>
  <c r="D68" i="7"/>
  <c r="D72" i="7"/>
  <c r="D94" i="7"/>
  <c r="D95" i="7"/>
  <c r="D153" i="7"/>
  <c r="D73" i="7"/>
  <c r="D99" i="7"/>
  <c r="D101" i="7"/>
  <c r="D154" i="7"/>
  <c r="D105" i="7"/>
  <c r="D107" i="7"/>
  <c r="D155" i="7"/>
  <c r="D56" i="7"/>
  <c r="D128" i="7"/>
  <c r="D156" i="7"/>
  <c r="D148" i="7"/>
  <c r="D157" i="7"/>
  <c r="D158" i="7"/>
  <c r="D57" i="10"/>
  <c r="D17" i="10"/>
  <c r="D23" i="10"/>
  <c r="D58" i="10"/>
  <c r="D32" i="10"/>
  <c r="D33" i="10"/>
  <c r="D17" i="7"/>
  <c r="D24" i="7"/>
  <c r="D36" i="10"/>
  <c r="D37" i="10"/>
  <c r="D38" i="10"/>
  <c r="D40" i="10"/>
  <c r="D59" i="10"/>
  <c r="E17" i="7"/>
  <c r="D41" i="7"/>
  <c r="D42" i="7"/>
  <c r="D43" i="7"/>
  <c r="D45" i="7"/>
  <c r="D60" i="10"/>
  <c r="D61" i="10"/>
  <c r="D65" i="12"/>
  <c r="D26" i="12"/>
  <c r="D66" i="12"/>
  <c r="D67" i="12"/>
  <c r="D24" i="11"/>
  <c r="D25" i="11"/>
  <c r="E56" i="7"/>
  <c r="D163" i="7"/>
  <c r="D164" i="7"/>
  <c r="D169" i="7"/>
  <c r="D170" i="7"/>
  <c r="D173" i="7"/>
  <c r="D26" i="11"/>
  <c r="D64" i="10"/>
  <c r="D65" i="10"/>
  <c r="D69" i="10"/>
  <c r="D45" i="10"/>
  <c r="D46" i="10"/>
  <c r="D48" i="10"/>
  <c r="D72" i="10"/>
  <c r="D74" i="10"/>
  <c r="D27" i="11"/>
  <c r="D28" i="11"/>
  <c r="D23" i="12"/>
  <c r="D27" i="12"/>
  <c r="D34" i="12"/>
  <c r="D36" i="12"/>
  <c r="D42" i="12"/>
  <c r="D43" i="12"/>
  <c r="D44" i="12"/>
  <c r="D45" i="12"/>
  <c r="D46" i="12"/>
  <c r="D51" i="12"/>
  <c r="D69" i="12"/>
  <c r="D70" i="12"/>
  <c r="D73" i="12"/>
  <c r="D75" i="12"/>
  <c r="E72" i="12"/>
  <c r="E55" i="10"/>
  <c r="F53" i="7"/>
  <c r="E61" i="7"/>
  <c r="E62" i="7"/>
  <c r="E70" i="7"/>
  <c r="E92" i="7"/>
  <c r="F54" i="7"/>
  <c r="E64" i="7"/>
  <c r="E65" i="7"/>
  <c r="E71" i="7"/>
  <c r="E93" i="7"/>
  <c r="F55" i="7"/>
  <c r="E67" i="7"/>
  <c r="E68" i="7"/>
  <c r="E72" i="7"/>
  <c r="E94" i="7"/>
  <c r="E95" i="7"/>
  <c r="E153" i="7"/>
  <c r="E73" i="7"/>
  <c r="E99" i="7"/>
  <c r="E101" i="7"/>
  <c r="E154" i="7"/>
  <c r="E105" i="7"/>
  <c r="E107" i="7"/>
  <c r="E155" i="7"/>
  <c r="E128" i="7"/>
  <c r="E156" i="7"/>
  <c r="E148" i="7"/>
  <c r="E157" i="7"/>
  <c r="E158" i="7"/>
  <c r="E57" i="10"/>
  <c r="E17" i="10"/>
  <c r="E23" i="10"/>
  <c r="E58" i="10"/>
  <c r="E32" i="10"/>
  <c r="E33" i="10"/>
  <c r="E24" i="7"/>
  <c r="E36" i="10"/>
  <c r="E37" i="10"/>
  <c r="E38" i="10"/>
  <c r="E40" i="10"/>
  <c r="E59" i="10"/>
  <c r="F17" i="7"/>
  <c r="D44" i="7"/>
  <c r="E40" i="7"/>
  <c r="E41" i="7"/>
  <c r="E42" i="7"/>
  <c r="E43" i="7"/>
  <c r="E45" i="7"/>
  <c r="E60" i="10"/>
  <c r="E61" i="10"/>
  <c r="E65" i="12"/>
  <c r="E25" i="12"/>
  <c r="E26" i="12"/>
  <c r="E66" i="12"/>
  <c r="E67" i="12"/>
  <c r="E41" i="12"/>
  <c r="E24" i="11"/>
  <c r="E25" i="11"/>
  <c r="F56" i="7"/>
  <c r="E163" i="7"/>
  <c r="E164" i="7"/>
  <c r="E169" i="7"/>
  <c r="E170" i="7"/>
  <c r="E173" i="7"/>
  <c r="E26" i="11"/>
  <c r="D66" i="10"/>
  <c r="E63" i="10"/>
  <c r="E64" i="10"/>
  <c r="E65" i="10"/>
  <c r="E69" i="10"/>
  <c r="E45" i="10"/>
  <c r="E46" i="10"/>
  <c r="E48" i="10"/>
  <c r="E72" i="10"/>
  <c r="E74" i="10"/>
  <c r="E27" i="11"/>
  <c r="E28" i="11"/>
  <c r="E23" i="12"/>
  <c r="E27" i="12"/>
  <c r="E34" i="12"/>
  <c r="E36" i="12"/>
  <c r="E42" i="12"/>
  <c r="E40" i="12"/>
  <c r="E43" i="12"/>
  <c r="E44" i="12"/>
  <c r="E45" i="12"/>
  <c r="E46" i="12"/>
  <c r="E50" i="12"/>
  <c r="E51" i="12"/>
  <c r="E69" i="12"/>
  <c r="E70" i="12"/>
  <c r="E73" i="12"/>
  <c r="D55" i="12"/>
  <c r="D56" i="12"/>
  <c r="D57" i="12"/>
  <c r="D58" i="12"/>
  <c r="D59" i="12"/>
  <c r="F24" i="11"/>
  <c r="F24" i="7"/>
  <c r="F25" i="11"/>
  <c r="G53" i="7"/>
  <c r="F61" i="7"/>
  <c r="F62" i="7"/>
  <c r="F70" i="7"/>
  <c r="F92" i="7"/>
  <c r="G54" i="7"/>
  <c r="F64" i="7"/>
  <c r="F65" i="7"/>
  <c r="F71" i="7"/>
  <c r="F93" i="7"/>
  <c r="G55" i="7"/>
  <c r="F67" i="7"/>
  <c r="F68" i="7"/>
  <c r="F72" i="7"/>
  <c r="F94" i="7"/>
  <c r="F95" i="7"/>
  <c r="F153" i="7"/>
  <c r="F73" i="7"/>
  <c r="F99" i="7"/>
  <c r="F101" i="7"/>
  <c r="F154" i="7"/>
  <c r="F105" i="7"/>
  <c r="F107" i="7"/>
  <c r="F155" i="7"/>
  <c r="F128" i="7"/>
  <c r="F156" i="7"/>
  <c r="F148" i="7"/>
  <c r="F157" i="7"/>
  <c r="F158" i="7"/>
  <c r="G56" i="7"/>
  <c r="F163" i="7"/>
  <c r="F164" i="7"/>
  <c r="F169" i="7"/>
  <c r="F170" i="7"/>
  <c r="F173" i="7"/>
  <c r="F26" i="11"/>
  <c r="F17" i="10"/>
  <c r="F23" i="10"/>
  <c r="F32" i="10"/>
  <c r="F33" i="10"/>
  <c r="F36" i="10"/>
  <c r="F37" i="10"/>
  <c r="F38" i="10"/>
  <c r="F40" i="10"/>
  <c r="E66" i="10"/>
  <c r="F63" i="10"/>
  <c r="F55" i="10"/>
  <c r="F57" i="10"/>
  <c r="F58" i="10"/>
  <c r="F59" i="10"/>
  <c r="G17" i="7"/>
  <c r="E44" i="7"/>
  <c r="F40" i="7"/>
  <c r="F41" i="7"/>
  <c r="F42" i="7"/>
  <c r="F43" i="7"/>
  <c r="F45" i="7"/>
  <c r="F60" i="10"/>
  <c r="F61" i="10"/>
  <c r="F64" i="10"/>
  <c r="F65" i="10"/>
  <c r="F69" i="10"/>
  <c r="F45" i="10"/>
  <c r="F46" i="10"/>
  <c r="F48" i="10"/>
  <c r="F72" i="10"/>
  <c r="F74" i="10"/>
  <c r="F27" i="11"/>
  <c r="F28" i="11"/>
  <c r="F23" i="12"/>
  <c r="F25" i="12"/>
  <c r="F26" i="12"/>
  <c r="F27" i="12"/>
  <c r="F43" i="12"/>
  <c r="O24" i="11"/>
  <c r="O17" i="7"/>
  <c r="O24" i="7"/>
  <c r="O25" i="11"/>
  <c r="O53" i="7"/>
  <c r="O61" i="7"/>
  <c r="N61" i="7"/>
  <c r="O62" i="7"/>
  <c r="O70" i="7"/>
  <c r="O92" i="7"/>
  <c r="O54" i="7"/>
  <c r="O64" i="7"/>
  <c r="N64" i="7"/>
  <c r="O65" i="7"/>
  <c r="O71" i="7"/>
  <c r="O93" i="7"/>
  <c r="O55" i="7"/>
  <c r="O67" i="7"/>
  <c r="N67" i="7"/>
  <c r="O68" i="7"/>
  <c r="O72" i="7"/>
  <c r="O94" i="7"/>
  <c r="O95" i="7"/>
  <c r="O153" i="7"/>
  <c r="O73" i="7"/>
  <c r="O99" i="7"/>
  <c r="O101" i="7"/>
  <c r="O154" i="7"/>
  <c r="O105" i="7"/>
  <c r="O107" i="7"/>
  <c r="O155" i="7"/>
  <c r="O56" i="7"/>
  <c r="O128" i="7"/>
  <c r="O156" i="7"/>
  <c r="O148" i="7"/>
  <c r="O157" i="7"/>
  <c r="O158" i="7"/>
  <c r="N163" i="7"/>
  <c r="O164" i="7"/>
  <c r="N53" i="7"/>
  <c r="M61" i="7"/>
  <c r="N62" i="7"/>
  <c r="N70" i="7"/>
  <c r="N92" i="7"/>
  <c r="N54" i="7"/>
  <c r="M64" i="7"/>
  <c r="N65" i="7"/>
  <c r="N71" i="7"/>
  <c r="N93" i="7"/>
  <c r="N55" i="7"/>
  <c r="M67" i="7"/>
  <c r="N68" i="7"/>
  <c r="N72" i="7"/>
  <c r="N94" i="7"/>
  <c r="N95" i="7"/>
  <c r="N153" i="7"/>
  <c r="N73" i="7"/>
  <c r="N99" i="7"/>
  <c r="N101" i="7"/>
  <c r="N154" i="7"/>
  <c r="N105" i="7"/>
  <c r="N107" i="7"/>
  <c r="N155" i="7"/>
  <c r="N56" i="7"/>
  <c r="N128" i="7"/>
  <c r="N156" i="7"/>
  <c r="N148" i="7"/>
  <c r="N157" i="7"/>
  <c r="N158" i="7"/>
  <c r="N169" i="7"/>
  <c r="O169" i="7"/>
  <c r="O170" i="7"/>
  <c r="O173" i="7"/>
  <c r="O26" i="11"/>
  <c r="O17" i="10"/>
  <c r="O23" i="10"/>
  <c r="O32" i="10"/>
  <c r="O33" i="10"/>
  <c r="O36" i="10"/>
  <c r="O37" i="10"/>
  <c r="O38" i="10"/>
  <c r="O40" i="10"/>
  <c r="F66" i="10"/>
  <c r="G63" i="10"/>
  <c r="G55" i="10"/>
  <c r="H53" i="7"/>
  <c r="G61" i="7"/>
  <c r="G62" i="7"/>
  <c r="G70" i="7"/>
  <c r="G92" i="7"/>
  <c r="H54" i="7"/>
  <c r="G64" i="7"/>
  <c r="G65" i="7"/>
  <c r="G71" i="7"/>
  <c r="G93" i="7"/>
  <c r="H55" i="7"/>
  <c r="G67" i="7"/>
  <c r="G68" i="7"/>
  <c r="G72" i="7"/>
  <c r="G94" i="7"/>
  <c r="G95" i="7"/>
  <c r="G153" i="7"/>
  <c r="G73" i="7"/>
  <c r="G99" i="7"/>
  <c r="G101" i="7"/>
  <c r="G154" i="7"/>
  <c r="G105" i="7"/>
  <c r="G107" i="7"/>
  <c r="G155" i="7"/>
  <c r="G128" i="7"/>
  <c r="G156" i="7"/>
  <c r="G148" i="7"/>
  <c r="G157" i="7"/>
  <c r="G158" i="7"/>
  <c r="G57" i="10"/>
  <c r="G17" i="10"/>
  <c r="G23" i="10"/>
  <c r="G58" i="10"/>
  <c r="G32" i="10"/>
  <c r="G33" i="10"/>
  <c r="G24" i="7"/>
  <c r="G36" i="10"/>
  <c r="G37" i="10"/>
  <c r="G38" i="10"/>
  <c r="G40" i="10"/>
  <c r="G59" i="10"/>
  <c r="H17" i="7"/>
  <c r="F44" i="7"/>
  <c r="G40" i="7"/>
  <c r="G41" i="7"/>
  <c r="G42" i="7"/>
  <c r="G43" i="7"/>
  <c r="G45" i="7"/>
  <c r="G60" i="10"/>
  <c r="G61" i="10"/>
  <c r="G64" i="10"/>
  <c r="G66" i="10"/>
  <c r="H63" i="10"/>
  <c r="H55" i="10"/>
  <c r="I53" i="7"/>
  <c r="H61" i="7"/>
  <c r="H62" i="7"/>
  <c r="H70" i="7"/>
  <c r="H92" i="7"/>
  <c r="I54" i="7"/>
  <c r="H64" i="7"/>
  <c r="H65" i="7"/>
  <c r="H71" i="7"/>
  <c r="H93" i="7"/>
  <c r="I55" i="7"/>
  <c r="H67" i="7"/>
  <c r="H68" i="7"/>
  <c r="H72" i="7"/>
  <c r="H94" i="7"/>
  <c r="H95" i="7"/>
  <c r="H153" i="7"/>
  <c r="H73" i="7"/>
  <c r="H99" i="7"/>
  <c r="H101" i="7"/>
  <c r="H154" i="7"/>
  <c r="H105" i="7"/>
  <c r="H107" i="7"/>
  <c r="H155" i="7"/>
  <c r="H56" i="7"/>
  <c r="H128" i="7"/>
  <c r="H156" i="7"/>
  <c r="H148" i="7"/>
  <c r="H157" i="7"/>
  <c r="H158" i="7"/>
  <c r="H57" i="10"/>
  <c r="H17" i="10"/>
  <c r="H23" i="10"/>
  <c r="H58" i="10"/>
  <c r="H32" i="10"/>
  <c r="H33" i="10"/>
  <c r="H24" i="7"/>
  <c r="H36" i="10"/>
  <c r="H37" i="10"/>
  <c r="H38" i="10"/>
  <c r="H40" i="10"/>
  <c r="H59" i="10"/>
  <c r="I17" i="7"/>
  <c r="G44" i="7"/>
  <c r="H40" i="7"/>
  <c r="H41" i="7"/>
  <c r="H42" i="7"/>
  <c r="H43" i="7"/>
  <c r="H45" i="7"/>
  <c r="H60" i="10"/>
  <c r="H61" i="10"/>
  <c r="H64" i="10"/>
  <c r="H66" i="10"/>
  <c r="I63" i="10"/>
  <c r="I55" i="10"/>
  <c r="J53" i="7"/>
  <c r="I61" i="7"/>
  <c r="I62" i="7"/>
  <c r="I70" i="7"/>
  <c r="I92" i="7"/>
  <c r="J54" i="7"/>
  <c r="I64" i="7"/>
  <c r="I65" i="7"/>
  <c r="I71" i="7"/>
  <c r="I93" i="7"/>
  <c r="J55" i="7"/>
  <c r="I67" i="7"/>
  <c r="I68" i="7"/>
  <c r="I72" i="7"/>
  <c r="I94" i="7"/>
  <c r="I95" i="7"/>
  <c r="I153" i="7"/>
  <c r="I73" i="7"/>
  <c r="I99" i="7"/>
  <c r="I101" i="7"/>
  <c r="I154" i="7"/>
  <c r="I105" i="7"/>
  <c r="I107" i="7"/>
  <c r="I155" i="7"/>
  <c r="I56" i="7"/>
  <c r="I128" i="7"/>
  <c r="I156" i="7"/>
  <c r="I148" i="7"/>
  <c r="I157" i="7"/>
  <c r="I158" i="7"/>
  <c r="I57" i="10"/>
  <c r="I17" i="10"/>
  <c r="I23" i="10"/>
  <c r="I58" i="10"/>
  <c r="I32" i="10"/>
  <c r="I33" i="10"/>
  <c r="I24" i="7"/>
  <c r="I36" i="10"/>
  <c r="I37" i="10"/>
  <c r="I38" i="10"/>
  <c r="I40" i="10"/>
  <c r="I59" i="10"/>
  <c r="J17" i="7"/>
  <c r="H44" i="7"/>
  <c r="I40" i="7"/>
  <c r="I41" i="7"/>
  <c r="I42" i="7"/>
  <c r="I43" i="7"/>
  <c r="I45" i="7"/>
  <c r="I60" i="10"/>
  <c r="I61" i="10"/>
  <c r="I64" i="10"/>
  <c r="I66" i="10"/>
  <c r="J63" i="10"/>
  <c r="J55" i="10"/>
  <c r="K53" i="7"/>
  <c r="J61" i="7"/>
  <c r="J62" i="7"/>
  <c r="J70" i="7"/>
  <c r="J92" i="7"/>
  <c r="K54" i="7"/>
  <c r="J64" i="7"/>
  <c r="J65" i="7"/>
  <c r="J71" i="7"/>
  <c r="J93" i="7"/>
  <c r="K55" i="7"/>
  <c r="J67" i="7"/>
  <c r="J68" i="7"/>
  <c r="J72" i="7"/>
  <c r="J94" i="7"/>
  <c r="J95" i="7"/>
  <c r="J153" i="7"/>
  <c r="J73" i="7"/>
  <c r="J99" i="7"/>
  <c r="J101" i="7"/>
  <c r="J154" i="7"/>
  <c r="J105" i="7"/>
  <c r="J107" i="7"/>
  <c r="J155" i="7"/>
  <c r="J56" i="7"/>
  <c r="J128" i="7"/>
  <c r="J156" i="7"/>
  <c r="J148" i="7"/>
  <c r="J157" i="7"/>
  <c r="J158" i="7"/>
  <c r="J57" i="10"/>
  <c r="J17" i="10"/>
  <c r="J23" i="10"/>
  <c r="J58" i="10"/>
  <c r="J32" i="10"/>
  <c r="J33" i="10"/>
  <c r="J24" i="7"/>
  <c r="J36" i="10"/>
  <c r="J37" i="10"/>
  <c r="J38" i="10"/>
  <c r="J40" i="10"/>
  <c r="J59" i="10"/>
  <c r="K17" i="7"/>
  <c r="I44" i="7"/>
  <c r="J40" i="7"/>
  <c r="J41" i="7"/>
  <c r="J42" i="7"/>
  <c r="J43" i="7"/>
  <c r="J45" i="7"/>
  <c r="J60" i="10"/>
  <c r="J61" i="10"/>
  <c r="J64" i="10"/>
  <c r="J66" i="10"/>
  <c r="K63" i="10"/>
  <c r="K55" i="10"/>
  <c r="L53" i="7"/>
  <c r="K61" i="7"/>
  <c r="K62" i="7"/>
  <c r="K70" i="7"/>
  <c r="K92" i="7"/>
  <c r="L54" i="7"/>
  <c r="K64" i="7"/>
  <c r="K65" i="7"/>
  <c r="K71" i="7"/>
  <c r="K93" i="7"/>
  <c r="L55" i="7"/>
  <c r="K67" i="7"/>
  <c r="K68" i="7"/>
  <c r="K72" i="7"/>
  <c r="K94" i="7"/>
  <c r="K95" i="7"/>
  <c r="K153" i="7"/>
  <c r="K73" i="7"/>
  <c r="K99" i="7"/>
  <c r="K101" i="7"/>
  <c r="K154" i="7"/>
  <c r="K105" i="7"/>
  <c r="K107" i="7"/>
  <c r="K155" i="7"/>
  <c r="K56" i="7"/>
  <c r="K128" i="7"/>
  <c r="K156" i="7"/>
  <c r="K148" i="7"/>
  <c r="K157" i="7"/>
  <c r="K158" i="7"/>
  <c r="K57" i="10"/>
  <c r="K17" i="10"/>
  <c r="K23" i="10"/>
  <c r="K58" i="10"/>
  <c r="K32" i="10"/>
  <c r="K33" i="10"/>
  <c r="K24" i="7"/>
  <c r="K36" i="10"/>
  <c r="K37" i="10"/>
  <c r="K38" i="10"/>
  <c r="K40" i="10"/>
  <c r="K59" i="10"/>
  <c r="L17" i="7"/>
  <c r="J44" i="7"/>
  <c r="K40" i="7"/>
  <c r="K41" i="7"/>
  <c r="K42" i="7"/>
  <c r="K43" i="7"/>
  <c r="K45" i="7"/>
  <c r="K60" i="10"/>
  <c r="K61" i="10"/>
  <c r="K64" i="10"/>
  <c r="K66" i="10"/>
  <c r="L63" i="10"/>
  <c r="L55" i="10"/>
  <c r="M53" i="7"/>
  <c r="L61" i="7"/>
  <c r="L62" i="7"/>
  <c r="L70" i="7"/>
  <c r="L92" i="7"/>
  <c r="M54" i="7"/>
  <c r="L64" i="7"/>
  <c r="L65" i="7"/>
  <c r="L71" i="7"/>
  <c r="L93" i="7"/>
  <c r="M55" i="7"/>
  <c r="L67" i="7"/>
  <c r="L68" i="7"/>
  <c r="L72" i="7"/>
  <c r="L94" i="7"/>
  <c r="L95" i="7"/>
  <c r="L153" i="7"/>
  <c r="L73" i="7"/>
  <c r="L99" i="7"/>
  <c r="L101" i="7"/>
  <c r="L154" i="7"/>
  <c r="L105" i="7"/>
  <c r="L107" i="7"/>
  <c r="L155" i="7"/>
  <c r="L56" i="7"/>
  <c r="L128" i="7"/>
  <c r="L156" i="7"/>
  <c r="L148" i="7"/>
  <c r="L157" i="7"/>
  <c r="L158" i="7"/>
  <c r="L57" i="10"/>
  <c r="L17" i="10"/>
  <c r="L23" i="10"/>
  <c r="L58" i="10"/>
  <c r="L32" i="10"/>
  <c r="L33" i="10"/>
  <c r="L24" i="7"/>
  <c r="L36" i="10"/>
  <c r="L37" i="10"/>
  <c r="L38" i="10"/>
  <c r="L40" i="10"/>
  <c r="L59" i="10"/>
  <c r="M17" i="7"/>
  <c r="K44" i="7"/>
  <c r="L40" i="7"/>
  <c r="L41" i="7"/>
  <c r="L42" i="7"/>
  <c r="L43" i="7"/>
  <c r="L45" i="7"/>
  <c r="L60" i="10"/>
  <c r="L61" i="10"/>
  <c r="L64" i="10"/>
  <c r="L66" i="10"/>
  <c r="M63" i="10"/>
  <c r="M55" i="10"/>
  <c r="M62" i="7"/>
  <c r="M70" i="7"/>
  <c r="M92" i="7"/>
  <c r="M65" i="7"/>
  <c r="M71" i="7"/>
  <c r="M93" i="7"/>
  <c r="M68" i="7"/>
  <c r="M72" i="7"/>
  <c r="M94" i="7"/>
  <c r="M95" i="7"/>
  <c r="M153" i="7"/>
  <c r="M73" i="7"/>
  <c r="M99" i="7"/>
  <c r="M101" i="7"/>
  <c r="M154" i="7"/>
  <c r="M105" i="7"/>
  <c r="M107" i="7"/>
  <c r="M155" i="7"/>
  <c r="M56" i="7"/>
  <c r="M128" i="7"/>
  <c r="M156" i="7"/>
  <c r="M148" i="7"/>
  <c r="M157" i="7"/>
  <c r="M158" i="7"/>
  <c r="M57" i="10"/>
  <c r="M17" i="10"/>
  <c r="M23" i="10"/>
  <c r="M58" i="10"/>
  <c r="M32" i="10"/>
  <c r="M33" i="10"/>
  <c r="M24" i="7"/>
  <c r="M36" i="10"/>
  <c r="M37" i="10"/>
  <c r="M38" i="10"/>
  <c r="M40" i="10"/>
  <c r="M59" i="10"/>
  <c r="N17" i="7"/>
  <c r="L44" i="7"/>
  <c r="M40" i="7"/>
  <c r="M41" i="7"/>
  <c r="M42" i="7"/>
  <c r="M43" i="7"/>
  <c r="M45" i="7"/>
  <c r="M60" i="10"/>
  <c r="M61" i="10"/>
  <c r="M64" i="10"/>
  <c r="M66" i="10"/>
  <c r="N63" i="10"/>
  <c r="N55" i="10"/>
  <c r="N57" i="10"/>
  <c r="N17" i="10"/>
  <c r="N23" i="10"/>
  <c r="N58" i="10"/>
  <c r="N32" i="10"/>
  <c r="N33" i="10"/>
  <c r="N24" i="7"/>
  <c r="N36" i="10"/>
  <c r="N37" i="10"/>
  <c r="N38" i="10"/>
  <c r="N40" i="10"/>
  <c r="N59" i="10"/>
  <c r="M44" i="7"/>
  <c r="N40" i="7"/>
  <c r="N41" i="7"/>
  <c r="N42" i="7"/>
  <c r="N43" i="7"/>
  <c r="N45" i="7"/>
  <c r="N60" i="10"/>
  <c r="N61" i="10"/>
  <c r="N64" i="10"/>
  <c r="N66" i="10"/>
  <c r="O63" i="10"/>
  <c r="O55" i="10"/>
  <c r="O57" i="10"/>
  <c r="O58" i="10"/>
  <c r="O59" i="10"/>
  <c r="N44" i="7"/>
  <c r="O40" i="7"/>
  <c r="O41" i="7"/>
  <c r="O42" i="7"/>
  <c r="O43" i="7"/>
  <c r="O45" i="7"/>
  <c r="O60" i="10"/>
  <c r="O61" i="10"/>
  <c r="O64" i="10"/>
  <c r="O65" i="10"/>
  <c r="O69" i="10"/>
  <c r="O45" i="10"/>
  <c r="O46" i="10"/>
  <c r="O48" i="10"/>
  <c r="O72" i="10"/>
  <c r="O74" i="10"/>
  <c r="O27" i="11"/>
  <c r="O28" i="11"/>
  <c r="O23" i="12"/>
  <c r="N24" i="11"/>
  <c r="N25" i="11"/>
  <c r="M163" i="7"/>
  <c r="N164" i="7"/>
  <c r="M169" i="7"/>
  <c r="N170" i="7"/>
  <c r="N173" i="7"/>
  <c r="N26" i="11"/>
  <c r="N65" i="10"/>
  <c r="N69" i="10"/>
  <c r="N45" i="10"/>
  <c r="N46" i="10"/>
  <c r="N48" i="10"/>
  <c r="N72" i="10"/>
  <c r="N74" i="10"/>
  <c r="N27" i="11"/>
  <c r="N28" i="11"/>
  <c r="N23" i="12"/>
  <c r="M24" i="11"/>
  <c r="M25" i="11"/>
  <c r="L163" i="7"/>
  <c r="M164" i="7"/>
  <c r="L169" i="7"/>
  <c r="M170" i="7"/>
  <c r="M173" i="7"/>
  <c r="M26" i="11"/>
  <c r="M65" i="10"/>
  <c r="M69" i="10"/>
  <c r="M45" i="10"/>
  <c r="M46" i="10"/>
  <c r="M48" i="10"/>
  <c r="M72" i="10"/>
  <c r="M74" i="10"/>
  <c r="M27" i="11"/>
  <c r="M28" i="11"/>
  <c r="M23" i="12"/>
  <c r="L24" i="11"/>
  <c r="L25" i="11"/>
  <c r="K163" i="7"/>
  <c r="L164" i="7"/>
  <c r="K169" i="7"/>
  <c r="L170" i="7"/>
  <c r="L173" i="7"/>
  <c r="L26" i="11"/>
  <c r="L65" i="10"/>
  <c r="L69" i="10"/>
  <c r="L45" i="10"/>
  <c r="L46" i="10"/>
  <c r="L48" i="10"/>
  <c r="L72" i="10"/>
  <c r="L74" i="10"/>
  <c r="L27" i="11"/>
  <c r="L28" i="11"/>
  <c r="L23" i="12"/>
  <c r="K24" i="11"/>
  <c r="K25" i="11"/>
  <c r="J163" i="7"/>
  <c r="K164" i="7"/>
  <c r="J169" i="7"/>
  <c r="K170" i="7"/>
  <c r="K173" i="7"/>
  <c r="K26" i="11"/>
  <c r="K65" i="10"/>
  <c r="K69" i="10"/>
  <c r="K45" i="10"/>
  <c r="K46" i="10"/>
  <c r="K48" i="10"/>
  <c r="K72" i="10"/>
  <c r="K74" i="10"/>
  <c r="K27" i="11"/>
  <c r="K28" i="11"/>
  <c r="K23" i="12"/>
  <c r="J24" i="11"/>
  <c r="J25" i="11"/>
  <c r="I163" i="7"/>
  <c r="J164" i="7"/>
  <c r="I169" i="7"/>
  <c r="J170" i="7"/>
  <c r="J173" i="7"/>
  <c r="J26" i="11"/>
  <c r="J65" i="10"/>
  <c r="J69" i="10"/>
  <c r="J45" i="10"/>
  <c r="J46" i="10"/>
  <c r="J48" i="10"/>
  <c r="J72" i="10"/>
  <c r="J74" i="10"/>
  <c r="J27" i="11"/>
  <c r="J28" i="11"/>
  <c r="J23" i="12"/>
  <c r="I24" i="11"/>
  <c r="I25" i="11"/>
  <c r="H163" i="7"/>
  <c r="I164" i="7"/>
  <c r="H169" i="7"/>
  <c r="I170" i="7"/>
  <c r="I173" i="7"/>
  <c r="I26" i="11"/>
  <c r="I65" i="10"/>
  <c r="I69" i="10"/>
  <c r="I45" i="10"/>
  <c r="I46" i="10"/>
  <c r="I48" i="10"/>
  <c r="I72" i="10"/>
  <c r="I74" i="10"/>
  <c r="I27" i="11"/>
  <c r="I28" i="11"/>
  <c r="I23" i="12"/>
  <c r="H24" i="11"/>
  <c r="H25" i="11"/>
  <c r="G163" i="7"/>
  <c r="H164" i="7"/>
  <c r="G169" i="7"/>
  <c r="H170" i="7"/>
  <c r="H173" i="7"/>
  <c r="H26" i="11"/>
  <c r="H65" i="10"/>
  <c r="H69" i="10"/>
  <c r="H45" i="10"/>
  <c r="H46" i="10"/>
  <c r="H48" i="10"/>
  <c r="H72" i="10"/>
  <c r="H74" i="10"/>
  <c r="H27" i="11"/>
  <c r="H28" i="11"/>
  <c r="H23" i="12"/>
  <c r="G24" i="11"/>
  <c r="G25" i="11"/>
  <c r="G164" i="7"/>
  <c r="G170" i="7"/>
  <c r="G173" i="7"/>
  <c r="G26" i="11"/>
  <c r="G65" i="10"/>
  <c r="G69" i="10"/>
  <c r="G45" i="10"/>
  <c r="G46" i="10"/>
  <c r="G48" i="10"/>
  <c r="G72" i="10"/>
  <c r="G74" i="10"/>
  <c r="G27" i="11"/>
  <c r="G28" i="11"/>
  <c r="G23" i="12"/>
  <c r="C28" i="11"/>
  <c r="C23" i="12"/>
  <c r="B23" i="12"/>
  <c r="A23" i="12"/>
  <c r="D22" i="10"/>
  <c r="D30" i="10"/>
  <c r="E29" i="10"/>
  <c r="F29" i="10"/>
  <c r="G29" i="10"/>
  <c r="H29" i="10"/>
  <c r="I29" i="10"/>
  <c r="J29" i="10"/>
  <c r="K29" i="10"/>
  <c r="L29" i="10"/>
  <c r="M29" i="10"/>
  <c r="N29" i="10"/>
  <c r="O29" i="10"/>
  <c r="O30" i="10"/>
  <c r="N30" i="10"/>
  <c r="M30" i="10"/>
  <c r="L30" i="10"/>
  <c r="K30" i="10"/>
  <c r="J30" i="10"/>
  <c r="I30" i="10"/>
  <c r="H30" i="10"/>
  <c r="G30" i="10"/>
  <c r="F30" i="10"/>
  <c r="E30" i="10"/>
  <c r="D26" i="5"/>
  <c r="L30" i="6"/>
  <c r="M30" i="6"/>
  <c r="M26" i="5"/>
  <c r="L26" i="5"/>
  <c r="K26" i="5"/>
  <c r="J26" i="5"/>
  <c r="I30" i="6"/>
  <c r="I26" i="5"/>
  <c r="H26" i="5"/>
  <c r="G26" i="5"/>
  <c r="F26" i="5"/>
  <c r="E26" i="5"/>
  <c r="A26" i="5"/>
  <c r="A20" i="5"/>
  <c r="A31" i="5"/>
  <c r="D51" i="6"/>
  <c r="D52" i="6"/>
  <c r="D53" i="6"/>
  <c r="D54" i="6"/>
  <c r="D75" i="6"/>
  <c r="D37" i="6"/>
  <c r="D59" i="6"/>
  <c r="D61" i="6"/>
  <c r="D76" i="6"/>
  <c r="D66" i="6"/>
  <c r="D68" i="6"/>
  <c r="D72" i="6"/>
  <c r="D77" i="6"/>
  <c r="D78" i="6"/>
  <c r="D84" i="6"/>
  <c r="D88" i="6"/>
  <c r="D90" i="6"/>
  <c r="D91" i="6"/>
  <c r="D94" i="6"/>
  <c r="E34" i="6"/>
  <c r="D87" i="7"/>
  <c r="E35" i="6"/>
  <c r="D84" i="7"/>
  <c r="D88" i="7"/>
  <c r="E36" i="6"/>
  <c r="D85" i="7"/>
  <c r="D89" i="7"/>
  <c r="E37" i="6"/>
  <c r="D38" i="7"/>
  <c r="D33" i="7"/>
  <c r="D60" i="12"/>
  <c r="E54" i="12"/>
  <c r="E47" i="6"/>
  <c r="E51" i="6"/>
  <c r="E48" i="6"/>
  <c r="E52" i="6"/>
  <c r="E49" i="6"/>
  <c r="E53" i="6"/>
  <c r="E54" i="6"/>
  <c r="E75" i="6"/>
  <c r="E59" i="6"/>
  <c r="E60" i="6"/>
  <c r="E61" i="6"/>
  <c r="E76" i="6"/>
  <c r="E66" i="6"/>
  <c r="E68" i="6"/>
  <c r="E71" i="6"/>
  <c r="E72" i="6"/>
  <c r="E77" i="6"/>
  <c r="E78" i="6"/>
  <c r="E83" i="6"/>
  <c r="E84" i="6"/>
  <c r="E87" i="6"/>
  <c r="E88" i="6"/>
  <c r="E90" i="6"/>
  <c r="E91" i="6"/>
  <c r="E94" i="6"/>
  <c r="E23" i="7"/>
  <c r="F34" i="6"/>
  <c r="E60" i="7"/>
  <c r="E87" i="7"/>
  <c r="F35" i="6"/>
  <c r="E88" i="7"/>
  <c r="F32" i="6"/>
  <c r="F36" i="6"/>
  <c r="E89" i="7"/>
  <c r="E100" i="7"/>
  <c r="E106" i="7"/>
  <c r="E114" i="7"/>
  <c r="E117" i="7"/>
  <c r="E118" i="7"/>
  <c r="E119" i="7"/>
  <c r="E121" i="7"/>
  <c r="E122" i="7"/>
  <c r="E124" i="7"/>
  <c r="E125" i="7"/>
  <c r="E126" i="7"/>
  <c r="E127" i="7"/>
  <c r="E133" i="7"/>
  <c r="E134" i="7"/>
  <c r="E135" i="7"/>
  <c r="E136" i="7"/>
  <c r="E137" i="7"/>
  <c r="E139" i="7"/>
  <c r="E140" i="7"/>
  <c r="E142" i="7"/>
  <c r="E143" i="7"/>
  <c r="E145" i="7"/>
  <c r="E146" i="7"/>
  <c r="E147" i="7"/>
  <c r="F37" i="6"/>
  <c r="E162" i="7"/>
  <c r="E168" i="7"/>
  <c r="E21" i="10"/>
  <c r="E22" i="10"/>
  <c r="E37" i="7"/>
  <c r="E38" i="7"/>
  <c r="E33" i="7"/>
  <c r="E68" i="10"/>
  <c r="E47" i="10"/>
  <c r="E55" i="12"/>
  <c r="E56" i="12"/>
  <c r="E57" i="12"/>
  <c r="E58" i="12"/>
  <c r="E59" i="12"/>
  <c r="E60" i="12"/>
  <c r="F54" i="12"/>
  <c r="F43" i="6"/>
  <c r="F47" i="6"/>
  <c r="F51" i="6"/>
  <c r="F44" i="6"/>
  <c r="F48" i="6"/>
  <c r="F52" i="6"/>
  <c r="F45" i="6"/>
  <c r="F49" i="6"/>
  <c r="F53" i="6"/>
  <c r="F54" i="6"/>
  <c r="F75" i="6"/>
  <c r="F59" i="6"/>
  <c r="F60" i="6"/>
  <c r="F61" i="6"/>
  <c r="F76" i="6"/>
  <c r="F66" i="6"/>
  <c r="F68" i="6"/>
  <c r="F71" i="6"/>
  <c r="F72" i="6"/>
  <c r="F77" i="6"/>
  <c r="F78" i="6"/>
  <c r="F83" i="6"/>
  <c r="F84" i="6"/>
  <c r="F87" i="6"/>
  <c r="F88" i="6"/>
  <c r="F90" i="6"/>
  <c r="F91" i="6"/>
  <c r="F94" i="6"/>
  <c r="F21" i="7"/>
  <c r="F22" i="7"/>
  <c r="F23" i="7"/>
  <c r="G34" i="6"/>
  <c r="F60" i="7"/>
  <c r="F83" i="7"/>
  <c r="F87" i="7"/>
  <c r="G35" i="6"/>
  <c r="F84" i="7"/>
  <c r="F88" i="7"/>
  <c r="G32" i="6"/>
  <c r="G36" i="6"/>
  <c r="F85" i="7"/>
  <c r="F89" i="7"/>
  <c r="F100" i="7"/>
  <c r="F106" i="7"/>
  <c r="F114" i="7"/>
  <c r="F117" i="7"/>
  <c r="F118" i="7"/>
  <c r="F119" i="7"/>
  <c r="F121" i="7"/>
  <c r="F122" i="7"/>
  <c r="F124" i="7"/>
  <c r="F125" i="7"/>
  <c r="F126" i="7"/>
  <c r="F127" i="7"/>
  <c r="F133" i="7"/>
  <c r="F134" i="7"/>
  <c r="F135" i="7"/>
  <c r="F136" i="7"/>
  <c r="F137" i="7"/>
  <c r="F139" i="7"/>
  <c r="F140" i="7"/>
  <c r="F142" i="7"/>
  <c r="F143" i="7"/>
  <c r="F145" i="7"/>
  <c r="F146" i="7"/>
  <c r="F147" i="7"/>
  <c r="G37" i="6"/>
  <c r="F162" i="7"/>
  <c r="F168" i="7"/>
  <c r="F21" i="10"/>
  <c r="F22" i="10"/>
  <c r="F37" i="7"/>
  <c r="F38" i="7"/>
  <c r="F33" i="7"/>
  <c r="F68" i="10"/>
  <c r="F47" i="10"/>
  <c r="F55" i="12"/>
  <c r="F41" i="12"/>
  <c r="E33" i="12"/>
  <c r="F33" i="12"/>
  <c r="F34" i="12"/>
  <c r="F36" i="12"/>
  <c r="F42" i="12"/>
  <c r="F44" i="12"/>
  <c r="F45" i="12"/>
  <c r="F46" i="12"/>
  <c r="F50" i="12"/>
  <c r="F51" i="12"/>
  <c r="F56" i="12"/>
  <c r="F57" i="12"/>
  <c r="F58" i="12"/>
  <c r="F59" i="12"/>
  <c r="F60" i="12"/>
  <c r="G54" i="12"/>
  <c r="G43" i="6"/>
  <c r="G47" i="6"/>
  <c r="G51" i="6"/>
  <c r="G44" i="6"/>
  <c r="G48" i="6"/>
  <c r="G52" i="6"/>
  <c r="G45" i="6"/>
  <c r="G49" i="6"/>
  <c r="G53" i="6"/>
  <c r="G54" i="6"/>
  <c r="G75" i="6"/>
  <c r="G59" i="6"/>
  <c r="G60" i="6"/>
  <c r="G61" i="6"/>
  <c r="G76" i="6"/>
  <c r="G66" i="6"/>
  <c r="G68" i="6"/>
  <c r="G71" i="6"/>
  <c r="G72" i="6"/>
  <c r="G77" i="6"/>
  <c r="G78" i="6"/>
  <c r="G83" i="6"/>
  <c r="G84" i="6"/>
  <c r="G87" i="6"/>
  <c r="G88" i="6"/>
  <c r="G90" i="6"/>
  <c r="G91" i="6"/>
  <c r="G94" i="6"/>
  <c r="G21" i="7"/>
  <c r="H34" i="6"/>
  <c r="G60" i="7"/>
  <c r="G83" i="7"/>
  <c r="G87" i="7"/>
  <c r="H31" i="6"/>
  <c r="H35" i="6"/>
  <c r="G84" i="7"/>
  <c r="G88" i="7"/>
  <c r="H32" i="6"/>
  <c r="H36" i="6"/>
  <c r="G85" i="7"/>
  <c r="G89" i="7"/>
  <c r="G100" i="7"/>
  <c r="G106" i="7"/>
  <c r="G114" i="7"/>
  <c r="G115" i="7"/>
  <c r="G117" i="7"/>
  <c r="G118" i="7"/>
  <c r="G119" i="7"/>
  <c r="G121" i="7"/>
  <c r="G122" i="7"/>
  <c r="G124" i="7"/>
  <c r="G125" i="7"/>
  <c r="G126" i="7"/>
  <c r="G127" i="7"/>
  <c r="G133" i="7"/>
  <c r="G134" i="7"/>
  <c r="G135" i="7"/>
  <c r="G136" i="7"/>
  <c r="G137" i="7"/>
  <c r="G139" i="7"/>
  <c r="G140" i="7"/>
  <c r="G142" i="7"/>
  <c r="G143" i="7"/>
  <c r="G145" i="7"/>
  <c r="G146" i="7"/>
  <c r="G147" i="7"/>
  <c r="H37" i="6"/>
  <c r="G162" i="7"/>
  <c r="G168" i="7"/>
  <c r="G21" i="10"/>
  <c r="G22" i="10"/>
  <c r="G37" i="7"/>
  <c r="G38" i="7"/>
  <c r="G33" i="7"/>
  <c r="G68" i="10"/>
  <c r="G47" i="10"/>
  <c r="G25" i="12"/>
  <c r="G26" i="12"/>
  <c r="G27" i="12"/>
  <c r="G55" i="12"/>
  <c r="G41" i="12"/>
  <c r="G34" i="12"/>
  <c r="G36" i="12"/>
  <c r="G42" i="12"/>
  <c r="G43" i="12"/>
  <c r="G44" i="12"/>
  <c r="G45" i="12"/>
  <c r="G46" i="12"/>
  <c r="G50" i="12"/>
  <c r="G51" i="12"/>
  <c r="G56" i="12"/>
  <c r="G57" i="12"/>
  <c r="G58" i="12"/>
  <c r="G59" i="12"/>
  <c r="G60" i="12"/>
  <c r="H54" i="12"/>
  <c r="H43" i="6"/>
  <c r="H47" i="6"/>
  <c r="H51" i="6"/>
  <c r="H44" i="6"/>
  <c r="H48" i="6"/>
  <c r="H52" i="6"/>
  <c r="H45" i="6"/>
  <c r="H49" i="6"/>
  <c r="H53" i="6"/>
  <c r="H54" i="6"/>
  <c r="H75" i="6"/>
  <c r="H59" i="6"/>
  <c r="H60" i="6"/>
  <c r="H61" i="6"/>
  <c r="H76" i="6"/>
  <c r="H66" i="6"/>
  <c r="H68" i="6"/>
  <c r="H71" i="6"/>
  <c r="H72" i="6"/>
  <c r="H77" i="6"/>
  <c r="H78" i="6"/>
  <c r="H83" i="6"/>
  <c r="H84" i="6"/>
  <c r="H87" i="6"/>
  <c r="H88" i="6"/>
  <c r="H90" i="6"/>
  <c r="H91" i="6"/>
  <c r="H94" i="6"/>
  <c r="H20" i="7"/>
  <c r="H21" i="7"/>
  <c r="H22" i="7"/>
  <c r="H23" i="7"/>
  <c r="I34" i="6"/>
  <c r="H60" i="7"/>
  <c r="H83" i="7"/>
  <c r="H87" i="7"/>
  <c r="I31" i="6"/>
  <c r="I35" i="6"/>
  <c r="H84" i="7"/>
  <c r="H88" i="7"/>
  <c r="I32" i="6"/>
  <c r="I36" i="6"/>
  <c r="H85" i="7"/>
  <c r="H89" i="7"/>
  <c r="H100" i="7"/>
  <c r="H106" i="7"/>
  <c r="H114" i="7"/>
  <c r="H115" i="7"/>
  <c r="H116" i="7"/>
  <c r="H117" i="7"/>
  <c r="H118" i="7"/>
  <c r="H119" i="7"/>
  <c r="H121" i="7"/>
  <c r="H122" i="7"/>
  <c r="H124" i="7"/>
  <c r="H125" i="7"/>
  <c r="H126" i="7"/>
  <c r="H127" i="7"/>
  <c r="H133" i="7"/>
  <c r="H134" i="7"/>
  <c r="H135" i="7"/>
  <c r="H136" i="7"/>
  <c r="H137" i="7"/>
  <c r="H139" i="7"/>
  <c r="H140" i="7"/>
  <c r="H142" i="7"/>
  <c r="H143" i="7"/>
  <c r="H145" i="7"/>
  <c r="H146" i="7"/>
  <c r="H147" i="7"/>
  <c r="I37" i="6"/>
  <c r="H162" i="7"/>
  <c r="H168" i="7"/>
  <c r="H21" i="10"/>
  <c r="H22" i="10"/>
  <c r="H37" i="7"/>
  <c r="H38" i="7"/>
  <c r="H33" i="7"/>
  <c r="H68" i="10"/>
  <c r="H47" i="10"/>
  <c r="H25" i="12"/>
  <c r="H26" i="12"/>
  <c r="H27" i="12"/>
  <c r="H55" i="12"/>
  <c r="H41" i="12"/>
  <c r="H34" i="12"/>
  <c r="H36" i="12"/>
  <c r="H44" i="12"/>
  <c r="H45" i="12"/>
  <c r="H46" i="12"/>
  <c r="H50" i="12"/>
  <c r="H51" i="12"/>
  <c r="H56" i="12"/>
  <c r="H57" i="12"/>
  <c r="H58" i="12"/>
  <c r="H59" i="12"/>
  <c r="H60" i="12"/>
  <c r="I54" i="12"/>
  <c r="I43" i="6"/>
  <c r="I47" i="6"/>
  <c r="I51" i="6"/>
  <c r="I44" i="6"/>
  <c r="I48" i="6"/>
  <c r="I52" i="6"/>
  <c r="I45" i="6"/>
  <c r="I49" i="6"/>
  <c r="I53" i="6"/>
  <c r="I54" i="6"/>
  <c r="I75" i="6"/>
  <c r="I59" i="6"/>
  <c r="I60" i="6"/>
  <c r="I61" i="6"/>
  <c r="I76" i="6"/>
  <c r="I66" i="6"/>
  <c r="I68" i="6"/>
  <c r="I71" i="6"/>
  <c r="I72" i="6"/>
  <c r="I77" i="6"/>
  <c r="I78" i="6"/>
  <c r="I83" i="6"/>
  <c r="I84" i="6"/>
  <c r="I87" i="6"/>
  <c r="I88" i="6"/>
  <c r="I90" i="6"/>
  <c r="I91" i="6"/>
  <c r="I94" i="6"/>
  <c r="I20" i="7"/>
  <c r="I21" i="7"/>
  <c r="I22" i="7"/>
  <c r="I23" i="7"/>
  <c r="J34" i="6"/>
  <c r="I60" i="7"/>
  <c r="I83" i="7"/>
  <c r="I87" i="7"/>
  <c r="J35" i="6"/>
  <c r="I84" i="7"/>
  <c r="I88" i="7"/>
  <c r="J36" i="6"/>
  <c r="I85" i="7"/>
  <c r="I89" i="7"/>
  <c r="I100" i="7"/>
  <c r="I106" i="7"/>
  <c r="I114" i="7"/>
  <c r="I115" i="7"/>
  <c r="I116" i="7"/>
  <c r="I117" i="7"/>
  <c r="I118" i="7"/>
  <c r="I119" i="7"/>
  <c r="I121" i="7"/>
  <c r="I122" i="7"/>
  <c r="I124" i="7"/>
  <c r="I125" i="7"/>
  <c r="I126" i="7"/>
  <c r="I127" i="7"/>
  <c r="I133" i="7"/>
  <c r="I134" i="7"/>
  <c r="I135" i="7"/>
  <c r="I136" i="7"/>
  <c r="I137" i="7"/>
  <c r="I139" i="7"/>
  <c r="I140" i="7"/>
  <c r="I142" i="7"/>
  <c r="I143" i="7"/>
  <c r="I145" i="7"/>
  <c r="I146" i="7"/>
  <c r="I147" i="7"/>
  <c r="J37" i="6"/>
  <c r="I162" i="7"/>
  <c r="I168" i="7"/>
  <c r="I21" i="10"/>
  <c r="I22" i="10"/>
  <c r="I37" i="7"/>
  <c r="I38" i="7"/>
  <c r="I33" i="7"/>
  <c r="I68" i="10"/>
  <c r="I47" i="10"/>
  <c r="I25" i="12"/>
  <c r="I26" i="12"/>
  <c r="I27" i="12"/>
  <c r="I55" i="12"/>
  <c r="I41" i="12"/>
  <c r="I34" i="12"/>
  <c r="I36" i="12"/>
  <c r="I44" i="12"/>
  <c r="I45" i="12"/>
  <c r="I46" i="12"/>
  <c r="I50" i="12"/>
  <c r="I51" i="12"/>
  <c r="I56" i="12"/>
  <c r="I57" i="12"/>
  <c r="I58" i="12"/>
  <c r="I59" i="12"/>
  <c r="I60" i="12"/>
  <c r="J54" i="12"/>
  <c r="J43" i="6"/>
  <c r="J47" i="6"/>
  <c r="J51" i="6"/>
  <c r="J44" i="6"/>
  <c r="J48" i="6"/>
  <c r="J52" i="6"/>
  <c r="J45" i="6"/>
  <c r="J49" i="6"/>
  <c r="J53" i="6"/>
  <c r="J54" i="6"/>
  <c r="J75" i="6"/>
  <c r="J59" i="6"/>
  <c r="J60" i="6"/>
  <c r="J61" i="6"/>
  <c r="J76" i="6"/>
  <c r="J66" i="6"/>
  <c r="J67" i="6"/>
  <c r="J68" i="6"/>
  <c r="J71" i="6"/>
  <c r="J72" i="6"/>
  <c r="J77" i="6"/>
  <c r="J78" i="6"/>
  <c r="J83" i="6"/>
  <c r="J84" i="6"/>
  <c r="J87" i="6"/>
  <c r="J88" i="6"/>
  <c r="J90" i="6"/>
  <c r="J91" i="6"/>
  <c r="J94" i="6"/>
  <c r="J20" i="7"/>
  <c r="J21" i="7"/>
  <c r="J22" i="7"/>
  <c r="J23" i="7"/>
  <c r="K34" i="6"/>
  <c r="J60" i="7"/>
  <c r="J83" i="7"/>
  <c r="J87" i="7"/>
  <c r="K35" i="6"/>
  <c r="J84" i="7"/>
  <c r="J88" i="7"/>
  <c r="K36" i="6"/>
  <c r="J85" i="7"/>
  <c r="J89" i="7"/>
  <c r="J100" i="7"/>
  <c r="J106" i="7"/>
  <c r="J114" i="7"/>
  <c r="J115" i="7"/>
  <c r="J116" i="7"/>
  <c r="J117" i="7"/>
  <c r="J118" i="7"/>
  <c r="J119" i="7"/>
  <c r="J121" i="7"/>
  <c r="J122" i="7"/>
  <c r="J124" i="7"/>
  <c r="J125" i="7"/>
  <c r="J126" i="7"/>
  <c r="J127" i="7"/>
  <c r="J133" i="7"/>
  <c r="J134" i="7"/>
  <c r="J135" i="7"/>
  <c r="J136" i="7"/>
  <c r="J137" i="7"/>
  <c r="J139" i="7"/>
  <c r="J140" i="7"/>
  <c r="J142" i="7"/>
  <c r="J143" i="7"/>
  <c r="J145" i="7"/>
  <c r="J146" i="7"/>
  <c r="J147" i="7"/>
  <c r="K37" i="6"/>
  <c r="J162" i="7"/>
  <c r="J168" i="7"/>
  <c r="J21" i="10"/>
  <c r="J22" i="10"/>
  <c r="J37" i="7"/>
  <c r="J38" i="7"/>
  <c r="J33" i="7"/>
  <c r="J68" i="10"/>
  <c r="J47" i="10"/>
  <c r="J25" i="12"/>
  <c r="J26" i="12"/>
  <c r="J27" i="12"/>
  <c r="J55" i="12"/>
  <c r="J41" i="12"/>
  <c r="J34" i="12"/>
  <c r="J36" i="12"/>
  <c r="J44" i="12"/>
  <c r="J45" i="12"/>
  <c r="J46" i="12"/>
  <c r="J50" i="12"/>
  <c r="J51" i="12"/>
  <c r="J56" i="12"/>
  <c r="J57" i="12"/>
  <c r="J58" i="12"/>
  <c r="J59" i="12"/>
  <c r="J60" i="12"/>
  <c r="K54" i="12"/>
  <c r="K43" i="6"/>
  <c r="K47" i="6"/>
  <c r="K51" i="6"/>
  <c r="K44" i="6"/>
  <c r="K48" i="6"/>
  <c r="K52" i="6"/>
  <c r="K45" i="6"/>
  <c r="K49" i="6"/>
  <c r="K53" i="6"/>
  <c r="K54" i="6"/>
  <c r="K75" i="6"/>
  <c r="K59" i="6"/>
  <c r="K60" i="6"/>
  <c r="K61" i="6"/>
  <c r="K76" i="6"/>
  <c r="K66" i="6"/>
  <c r="K67" i="6"/>
  <c r="K68" i="6"/>
  <c r="K71" i="6"/>
  <c r="K72" i="6"/>
  <c r="K77" i="6"/>
  <c r="K78" i="6"/>
  <c r="K83" i="6"/>
  <c r="K84" i="6"/>
  <c r="K87" i="6"/>
  <c r="K88" i="6"/>
  <c r="K90" i="6"/>
  <c r="K91" i="6"/>
  <c r="K94" i="6"/>
  <c r="K20" i="7"/>
  <c r="K21" i="7"/>
  <c r="K22" i="7"/>
  <c r="K23" i="7"/>
  <c r="L34" i="6"/>
  <c r="K60" i="7"/>
  <c r="K83" i="7"/>
  <c r="K87" i="7"/>
  <c r="L31" i="6"/>
  <c r="L35" i="6"/>
  <c r="K84" i="7"/>
  <c r="K88" i="7"/>
  <c r="L32" i="6"/>
  <c r="L36" i="6"/>
  <c r="K85" i="7"/>
  <c r="K89" i="7"/>
  <c r="K100" i="7"/>
  <c r="K106" i="7"/>
  <c r="K114" i="7"/>
  <c r="K115" i="7"/>
  <c r="K116" i="7"/>
  <c r="K117" i="7"/>
  <c r="K118" i="7"/>
  <c r="K119" i="7"/>
  <c r="K121" i="7"/>
  <c r="K122" i="7"/>
  <c r="K124" i="7"/>
  <c r="K125" i="7"/>
  <c r="K126" i="7"/>
  <c r="K127" i="7"/>
  <c r="K133" i="7"/>
  <c r="K134" i="7"/>
  <c r="K135" i="7"/>
  <c r="K136" i="7"/>
  <c r="K137" i="7"/>
  <c r="K139" i="7"/>
  <c r="K140" i="7"/>
  <c r="K142" i="7"/>
  <c r="K143" i="7"/>
  <c r="K145" i="7"/>
  <c r="K146" i="7"/>
  <c r="K147" i="7"/>
  <c r="L37" i="6"/>
  <c r="K162" i="7"/>
  <c r="K168" i="7"/>
  <c r="K21" i="10"/>
  <c r="K22" i="10"/>
  <c r="K37" i="7"/>
  <c r="K38" i="7"/>
  <c r="K33" i="7"/>
  <c r="K68" i="10"/>
  <c r="K47" i="10"/>
  <c r="K25" i="12"/>
  <c r="K26" i="12"/>
  <c r="K27" i="12"/>
  <c r="K55" i="12"/>
  <c r="K41" i="12"/>
  <c r="K34" i="12"/>
  <c r="K36" i="12"/>
  <c r="K44" i="12"/>
  <c r="K45" i="12"/>
  <c r="K46" i="12"/>
  <c r="K50" i="12"/>
  <c r="K51" i="12"/>
  <c r="K56" i="12"/>
  <c r="K57" i="12"/>
  <c r="K58" i="12"/>
  <c r="K59" i="12"/>
  <c r="K60" i="12"/>
  <c r="L54" i="12"/>
  <c r="L43" i="6"/>
  <c r="L47" i="6"/>
  <c r="L51" i="6"/>
  <c r="L44" i="6"/>
  <c r="L48" i="6"/>
  <c r="L52" i="6"/>
  <c r="L45" i="6"/>
  <c r="L49" i="6"/>
  <c r="L53" i="6"/>
  <c r="L54" i="6"/>
  <c r="L75" i="6"/>
  <c r="L59" i="6"/>
  <c r="L60" i="6"/>
  <c r="L61" i="6"/>
  <c r="L76" i="6"/>
  <c r="L66" i="6"/>
  <c r="L67" i="6"/>
  <c r="L68" i="6"/>
  <c r="L71" i="6"/>
  <c r="L72" i="6"/>
  <c r="L77" i="6"/>
  <c r="L78" i="6"/>
  <c r="L83" i="6"/>
  <c r="L84" i="6"/>
  <c r="L87" i="6"/>
  <c r="L88" i="6"/>
  <c r="L90" i="6"/>
  <c r="L91" i="6"/>
  <c r="L94" i="6"/>
  <c r="L20" i="7"/>
  <c r="L21" i="7"/>
  <c r="L22" i="7"/>
  <c r="L23" i="7"/>
  <c r="M34" i="6"/>
  <c r="L60" i="7"/>
  <c r="L83" i="7"/>
  <c r="L87" i="7"/>
  <c r="M31" i="6"/>
  <c r="M35" i="6"/>
  <c r="L84" i="7"/>
  <c r="L88" i="7"/>
  <c r="M32" i="6"/>
  <c r="M36" i="6"/>
  <c r="L85" i="7"/>
  <c r="L89" i="7"/>
  <c r="L100" i="7"/>
  <c r="L106" i="7"/>
  <c r="L114" i="7"/>
  <c r="L115" i="7"/>
  <c r="L116" i="7"/>
  <c r="L117" i="7"/>
  <c r="L118" i="7"/>
  <c r="L119" i="7"/>
  <c r="L121" i="7"/>
  <c r="L122" i="7"/>
  <c r="L124" i="7"/>
  <c r="L125" i="7"/>
  <c r="L126" i="7"/>
  <c r="L127" i="7"/>
  <c r="L133" i="7"/>
  <c r="L134" i="7"/>
  <c r="L135" i="7"/>
  <c r="L136" i="7"/>
  <c r="L137" i="7"/>
  <c r="L139" i="7"/>
  <c r="L140" i="7"/>
  <c r="L142" i="7"/>
  <c r="L143" i="7"/>
  <c r="L145" i="7"/>
  <c r="L146" i="7"/>
  <c r="L147" i="7"/>
  <c r="M37" i="6"/>
  <c r="L162" i="7"/>
  <c r="L168" i="7"/>
  <c r="L21" i="10"/>
  <c r="L22" i="10"/>
  <c r="L37" i="7"/>
  <c r="L38" i="7"/>
  <c r="L33" i="7"/>
  <c r="L68" i="10"/>
  <c r="L47" i="10"/>
  <c r="L25" i="12"/>
  <c r="L26" i="12"/>
  <c r="L27" i="12"/>
  <c r="L55" i="12"/>
  <c r="L41" i="12"/>
  <c r="L34" i="12"/>
  <c r="L36" i="12"/>
  <c r="L44" i="12"/>
  <c r="L45" i="12"/>
  <c r="L46" i="12"/>
  <c r="L50" i="12"/>
  <c r="L51" i="12"/>
  <c r="L56" i="12"/>
  <c r="L57" i="12"/>
  <c r="L58" i="12"/>
  <c r="L59" i="12"/>
  <c r="L60" i="12"/>
  <c r="M54" i="12"/>
  <c r="M43" i="6"/>
  <c r="M47" i="6"/>
  <c r="M51" i="6"/>
  <c r="M44" i="6"/>
  <c r="M48" i="6"/>
  <c r="M52" i="6"/>
  <c r="M45" i="6"/>
  <c r="M49" i="6"/>
  <c r="M53" i="6"/>
  <c r="M54" i="6"/>
  <c r="M75" i="6"/>
  <c r="M59" i="6"/>
  <c r="M60" i="6"/>
  <c r="M61" i="6"/>
  <c r="M76" i="6"/>
  <c r="M66" i="6"/>
  <c r="M67" i="6"/>
  <c r="M68" i="6"/>
  <c r="M71" i="6"/>
  <c r="M72" i="6"/>
  <c r="M77" i="6"/>
  <c r="M78" i="6"/>
  <c r="M83" i="6"/>
  <c r="M84" i="6"/>
  <c r="M87" i="6"/>
  <c r="M88" i="6"/>
  <c r="M90" i="6"/>
  <c r="M91" i="6"/>
  <c r="M94" i="6"/>
  <c r="M20" i="7"/>
  <c r="M21" i="7"/>
  <c r="M22" i="7"/>
  <c r="M23" i="7"/>
  <c r="M83" i="7"/>
  <c r="M87" i="7"/>
  <c r="M84" i="7"/>
  <c r="M88" i="7"/>
  <c r="M85" i="7"/>
  <c r="M89" i="7"/>
  <c r="M100" i="7"/>
  <c r="M106" i="7"/>
  <c r="M114" i="7"/>
  <c r="M115" i="7"/>
  <c r="M116" i="7"/>
  <c r="M117" i="7"/>
  <c r="M118" i="7"/>
  <c r="M119" i="7"/>
  <c r="M121" i="7"/>
  <c r="M122" i="7"/>
  <c r="M124" i="7"/>
  <c r="M125" i="7"/>
  <c r="M126" i="7"/>
  <c r="M127" i="7"/>
  <c r="M133" i="7"/>
  <c r="M134" i="7"/>
  <c r="M135" i="7"/>
  <c r="M136" i="7"/>
  <c r="M137" i="7"/>
  <c r="M139" i="7"/>
  <c r="M140" i="7"/>
  <c r="M142" i="7"/>
  <c r="M143" i="7"/>
  <c r="M145" i="7"/>
  <c r="M146" i="7"/>
  <c r="M147" i="7"/>
  <c r="M168" i="7"/>
  <c r="M21" i="10"/>
  <c r="M22" i="10"/>
  <c r="M37" i="7"/>
  <c r="M38" i="7"/>
  <c r="M68" i="10"/>
  <c r="M47" i="10"/>
  <c r="M25" i="12"/>
  <c r="M26" i="12"/>
  <c r="M27" i="12"/>
  <c r="M55" i="12"/>
  <c r="M41" i="12"/>
  <c r="M34" i="12"/>
  <c r="M36" i="12"/>
  <c r="M44" i="12"/>
  <c r="M45" i="12"/>
  <c r="M46" i="12"/>
  <c r="M50" i="12"/>
  <c r="M51" i="12"/>
  <c r="M56" i="12"/>
  <c r="M57" i="12"/>
  <c r="M58" i="12"/>
  <c r="M59" i="12"/>
  <c r="M60" i="12"/>
  <c r="N54" i="12"/>
  <c r="N43" i="6"/>
  <c r="N47" i="6"/>
  <c r="N51" i="6"/>
  <c r="N44" i="6"/>
  <c r="N48" i="6"/>
  <c r="N52" i="6"/>
  <c r="N45" i="6"/>
  <c r="N49" i="6"/>
  <c r="N53" i="6"/>
  <c r="N54" i="6"/>
  <c r="N83" i="6"/>
  <c r="N84" i="6"/>
  <c r="N59" i="6"/>
  <c r="N60" i="6"/>
  <c r="N61" i="6"/>
  <c r="N66" i="6"/>
  <c r="N67" i="6"/>
  <c r="N68" i="6"/>
  <c r="N71" i="6"/>
  <c r="N72" i="6"/>
  <c r="N87" i="6"/>
  <c r="N88" i="6"/>
  <c r="N90" i="6"/>
  <c r="N91" i="6"/>
  <c r="N75" i="6"/>
  <c r="N76" i="6"/>
  <c r="N77" i="6"/>
  <c r="N78" i="6"/>
  <c r="N94" i="6"/>
  <c r="N83" i="7"/>
  <c r="N87" i="7"/>
  <c r="N84" i="7"/>
  <c r="N88" i="7"/>
  <c r="N85" i="7"/>
  <c r="N89" i="7"/>
  <c r="N100" i="7"/>
  <c r="N106" i="7"/>
  <c r="N168" i="7"/>
  <c r="O37" i="6"/>
  <c r="N37" i="7"/>
  <c r="N38" i="7"/>
  <c r="M33" i="7"/>
  <c r="N33" i="7"/>
  <c r="N68" i="10"/>
  <c r="N47" i="10"/>
  <c r="N25" i="12"/>
  <c r="N26" i="12"/>
  <c r="N27" i="12"/>
  <c r="N55" i="12"/>
  <c r="N41" i="12"/>
  <c r="N34" i="12"/>
  <c r="N36" i="12"/>
  <c r="N44" i="12"/>
  <c r="N45" i="12"/>
  <c r="N46" i="12"/>
  <c r="N50" i="12"/>
  <c r="N51" i="12"/>
  <c r="N56" i="12"/>
  <c r="N57" i="12"/>
  <c r="N58" i="12"/>
  <c r="N59" i="12"/>
  <c r="N60" i="12"/>
  <c r="O54" i="12"/>
  <c r="O83" i="7"/>
  <c r="O87" i="7"/>
  <c r="O84" i="7"/>
  <c r="O88" i="7"/>
  <c r="O85" i="7"/>
  <c r="O89" i="7"/>
  <c r="O100" i="7"/>
  <c r="O106" i="7"/>
  <c r="O168" i="7"/>
  <c r="O163" i="7"/>
  <c r="O37" i="7"/>
  <c r="O38" i="7"/>
  <c r="O33" i="7"/>
  <c r="O43" i="6"/>
  <c r="O47" i="6"/>
  <c r="O51" i="6"/>
  <c r="O44" i="6"/>
  <c r="O48" i="6"/>
  <c r="O52" i="6"/>
  <c r="O45" i="6"/>
  <c r="O49" i="6"/>
  <c r="O53" i="6"/>
  <c r="O54" i="6"/>
  <c r="O75" i="6"/>
  <c r="O59" i="6"/>
  <c r="O60" i="6"/>
  <c r="O61" i="6"/>
  <c r="O76" i="6"/>
  <c r="O66" i="6"/>
  <c r="O67" i="6"/>
  <c r="O68" i="6"/>
  <c r="O71" i="6"/>
  <c r="O72" i="6"/>
  <c r="O77" i="6"/>
  <c r="O78" i="6"/>
  <c r="O68" i="10"/>
  <c r="O47" i="10"/>
  <c r="O83" i="6"/>
  <c r="O84" i="6"/>
  <c r="O87" i="6"/>
  <c r="O88" i="6"/>
  <c r="O90" i="6"/>
  <c r="O91" i="6"/>
  <c r="O94" i="6"/>
  <c r="O25" i="12"/>
  <c r="O26" i="12"/>
  <c r="O27" i="12"/>
  <c r="O55" i="12"/>
  <c r="O41" i="12"/>
  <c r="O34" i="12"/>
  <c r="O36" i="12"/>
  <c r="O44" i="12"/>
  <c r="O45" i="12"/>
  <c r="O46" i="12"/>
  <c r="O50" i="12"/>
  <c r="O51" i="12"/>
  <c r="O56" i="12"/>
  <c r="O57" i="12"/>
  <c r="O58" i="12"/>
  <c r="O59" i="12"/>
  <c r="O60" i="12"/>
  <c r="O131" i="16"/>
  <c r="N131" i="16"/>
  <c r="M131" i="16"/>
  <c r="L131" i="16"/>
  <c r="K131" i="16"/>
  <c r="J131" i="16"/>
  <c r="I131" i="16"/>
  <c r="H131" i="16"/>
  <c r="G131" i="16"/>
  <c r="F131" i="16"/>
  <c r="E131" i="16"/>
  <c r="D131" i="16"/>
  <c r="B131" i="16"/>
  <c r="A131" i="16"/>
  <c r="D29" i="11"/>
  <c r="E29" i="11"/>
  <c r="E116" i="16"/>
  <c r="E61" i="16"/>
  <c r="E117" i="16"/>
  <c r="E34" i="16"/>
  <c r="E75" i="7"/>
  <c r="E76" i="7"/>
  <c r="E77" i="7"/>
  <c r="E78" i="7"/>
  <c r="E77" i="16"/>
  <c r="E78" i="16"/>
  <c r="E16" i="16"/>
  <c r="E35" i="16"/>
  <c r="E36" i="16"/>
  <c r="F29" i="11"/>
  <c r="F116" i="16"/>
  <c r="F61" i="16"/>
  <c r="F117" i="16"/>
  <c r="F34" i="16"/>
  <c r="F75" i="7"/>
  <c r="F76" i="7"/>
  <c r="F77" i="7"/>
  <c r="F78" i="7"/>
  <c r="F77" i="16"/>
  <c r="F78" i="16"/>
  <c r="F16" i="16"/>
  <c r="F35" i="16"/>
  <c r="F36" i="16"/>
  <c r="G29" i="11"/>
  <c r="G116" i="16"/>
  <c r="G61" i="16"/>
  <c r="G117" i="16"/>
  <c r="G34" i="16"/>
  <c r="G75" i="7"/>
  <c r="G76" i="7"/>
  <c r="G77" i="7"/>
  <c r="G78" i="7"/>
  <c r="G77" i="16"/>
  <c r="G78" i="16"/>
  <c r="G16" i="16"/>
  <c r="G35" i="16"/>
  <c r="G36" i="16"/>
  <c r="H29" i="11"/>
  <c r="H116" i="16"/>
  <c r="H61" i="16"/>
  <c r="H117" i="16"/>
  <c r="H34" i="16"/>
  <c r="H75" i="7"/>
  <c r="H76" i="7"/>
  <c r="H77" i="7"/>
  <c r="H78" i="7"/>
  <c r="H77" i="16"/>
  <c r="H78" i="16"/>
  <c r="H16" i="16"/>
  <c r="H35" i="16"/>
  <c r="H36" i="16"/>
  <c r="I29" i="11"/>
  <c r="I116" i="16"/>
  <c r="I61" i="16"/>
  <c r="I117" i="16"/>
  <c r="I34" i="16"/>
  <c r="I75" i="7"/>
  <c r="I76" i="7"/>
  <c r="I77" i="7"/>
  <c r="I78" i="7"/>
  <c r="I77" i="16"/>
  <c r="I78" i="16"/>
  <c r="I16" i="16"/>
  <c r="I35" i="16"/>
  <c r="I36" i="16"/>
  <c r="J29" i="11"/>
  <c r="J116" i="16"/>
  <c r="J61" i="16"/>
  <c r="J117" i="16"/>
  <c r="J34" i="16"/>
  <c r="J75" i="7"/>
  <c r="J76" i="7"/>
  <c r="J77" i="7"/>
  <c r="J78" i="7"/>
  <c r="J77" i="16"/>
  <c r="J78" i="16"/>
  <c r="J16" i="16"/>
  <c r="J35" i="16"/>
  <c r="J36" i="16"/>
  <c r="K29" i="11"/>
  <c r="K116" i="16"/>
  <c r="K61" i="16"/>
  <c r="K117" i="16"/>
  <c r="K34" i="16"/>
  <c r="K75" i="7"/>
  <c r="K76" i="7"/>
  <c r="K77" i="7"/>
  <c r="K78" i="7"/>
  <c r="K77" i="16"/>
  <c r="K78" i="16"/>
  <c r="K16" i="16"/>
  <c r="K35" i="16"/>
  <c r="K36" i="16"/>
  <c r="L29" i="11"/>
  <c r="L116" i="16"/>
  <c r="L61" i="16"/>
  <c r="L117" i="16"/>
  <c r="L34" i="16"/>
  <c r="L75" i="7"/>
  <c r="L76" i="7"/>
  <c r="L77" i="7"/>
  <c r="L78" i="7"/>
  <c r="L77" i="16"/>
  <c r="L78" i="16"/>
  <c r="L16" i="16"/>
  <c r="L35" i="16"/>
  <c r="L36" i="16"/>
  <c r="M29" i="11"/>
  <c r="M116" i="16"/>
  <c r="M61" i="16"/>
  <c r="M117" i="16"/>
  <c r="M34" i="16"/>
  <c r="M75" i="7"/>
  <c r="M76" i="7"/>
  <c r="M77" i="7"/>
  <c r="M78" i="7"/>
  <c r="M77" i="16"/>
  <c r="M78" i="16"/>
  <c r="M16" i="16"/>
  <c r="M35" i="16"/>
  <c r="M36" i="16"/>
  <c r="N29" i="11"/>
  <c r="N116" i="16"/>
  <c r="N61" i="16"/>
  <c r="N117" i="16"/>
  <c r="N34" i="16"/>
  <c r="N75" i="7"/>
  <c r="N76" i="7"/>
  <c r="N77" i="7"/>
  <c r="N78" i="7"/>
  <c r="N77" i="16"/>
  <c r="N78" i="16"/>
  <c r="N16" i="16"/>
  <c r="N35" i="16"/>
  <c r="N36" i="16"/>
  <c r="O29" i="11"/>
  <c r="O116" i="16"/>
  <c r="O61" i="16"/>
  <c r="O117" i="16"/>
  <c r="O34" i="16"/>
  <c r="O75" i="7"/>
  <c r="O76" i="7"/>
  <c r="O77" i="7"/>
  <c r="O78" i="7"/>
  <c r="O77" i="16"/>
  <c r="O78" i="16"/>
  <c r="O16" i="16"/>
  <c r="O35" i="16"/>
  <c r="O36" i="16"/>
  <c r="D116" i="16"/>
  <c r="D61" i="16"/>
  <c r="D117" i="16"/>
  <c r="D34" i="16"/>
  <c r="D75" i="7"/>
  <c r="D76" i="7"/>
  <c r="D77" i="7"/>
  <c r="D78" i="7"/>
  <c r="D77" i="16"/>
  <c r="D78" i="16"/>
  <c r="D16" i="16"/>
  <c r="D35" i="16"/>
  <c r="D36" i="16"/>
  <c r="D89" i="16"/>
  <c r="D90" i="16"/>
  <c r="D39" i="16"/>
  <c r="C41" i="7"/>
  <c r="C89" i="16"/>
  <c r="D93" i="16"/>
  <c r="C37" i="6"/>
  <c r="C93" i="16"/>
  <c r="D94" i="16"/>
  <c r="D95" i="16"/>
  <c r="D98" i="16"/>
  <c r="D99" i="16"/>
  <c r="D100" i="16"/>
  <c r="D101" i="16"/>
  <c r="D102" i="16"/>
  <c r="D103" i="16"/>
  <c r="D40" i="16"/>
  <c r="D41" i="16"/>
  <c r="D43" i="16"/>
  <c r="D122" i="16"/>
  <c r="D123" i="16"/>
  <c r="D46" i="16"/>
  <c r="D126" i="16"/>
  <c r="E126" i="16"/>
  <c r="D127" i="16"/>
  <c r="D47" i="16"/>
  <c r="D48" i="16"/>
  <c r="D128" i="16"/>
  <c r="D51" i="16"/>
  <c r="D52" i="16"/>
  <c r="D54" i="16"/>
  <c r="D56" i="16"/>
  <c r="E122" i="16"/>
  <c r="E123" i="16"/>
  <c r="E46" i="16"/>
  <c r="F126" i="16"/>
  <c r="E127" i="16"/>
  <c r="E47" i="16"/>
  <c r="E48" i="16"/>
  <c r="F122" i="16"/>
  <c r="F123" i="16"/>
  <c r="F46" i="16"/>
  <c r="G126" i="16"/>
  <c r="F127" i="16"/>
  <c r="F47" i="16"/>
  <c r="F48" i="16"/>
  <c r="G122" i="16"/>
  <c r="G123" i="16"/>
  <c r="G46" i="16"/>
  <c r="H126" i="16"/>
  <c r="G127" i="16"/>
  <c r="G47" i="16"/>
  <c r="G48" i="16"/>
  <c r="H122" i="16"/>
  <c r="H123" i="16"/>
  <c r="H46" i="16"/>
  <c r="I126" i="16"/>
  <c r="H127" i="16"/>
  <c r="H47" i="16"/>
  <c r="H48" i="16"/>
  <c r="I122" i="16"/>
  <c r="I123" i="16"/>
  <c r="I46" i="16"/>
  <c r="J126" i="16"/>
  <c r="I127" i="16"/>
  <c r="I47" i="16"/>
  <c r="I48" i="16"/>
  <c r="J122" i="16"/>
  <c r="J123" i="16"/>
  <c r="J46" i="16"/>
  <c r="K126" i="16"/>
  <c r="J127" i="16"/>
  <c r="J47" i="16"/>
  <c r="J48" i="16"/>
  <c r="K122" i="16"/>
  <c r="K123" i="16"/>
  <c r="K46" i="16"/>
  <c r="L126" i="16"/>
  <c r="K127" i="16"/>
  <c r="K47" i="16"/>
  <c r="K48" i="16"/>
  <c r="L122" i="16"/>
  <c r="L123" i="16"/>
  <c r="L46" i="16"/>
  <c r="M126" i="16"/>
  <c r="L127" i="16"/>
  <c r="L47" i="16"/>
  <c r="L48" i="16"/>
  <c r="M122" i="16"/>
  <c r="M123" i="16"/>
  <c r="M46" i="16"/>
  <c r="N126" i="16"/>
  <c r="M127" i="16"/>
  <c r="M47" i="16"/>
  <c r="M48" i="16"/>
  <c r="N122" i="16"/>
  <c r="N123" i="16"/>
  <c r="N46" i="16"/>
  <c r="O126" i="16"/>
  <c r="N127" i="16"/>
  <c r="N47" i="16"/>
  <c r="N48" i="16"/>
  <c r="O122" i="16"/>
  <c r="O123" i="16"/>
  <c r="O46" i="16"/>
  <c r="O127" i="16"/>
  <c r="O47" i="16"/>
  <c r="O48" i="16"/>
  <c r="E128" i="16"/>
  <c r="F128" i="16"/>
  <c r="G128" i="16"/>
  <c r="H128" i="16"/>
  <c r="I128" i="16"/>
  <c r="J128" i="16"/>
  <c r="K128" i="16"/>
  <c r="L128" i="16"/>
  <c r="M128" i="16"/>
  <c r="N128" i="16"/>
  <c r="O128" i="16"/>
  <c r="B46" i="16"/>
  <c r="A122" i="16"/>
  <c r="A123" i="16"/>
  <c r="A46" i="16"/>
  <c r="A126" i="16"/>
  <c r="A120" i="16"/>
  <c r="A121" i="16"/>
  <c r="O120" i="16"/>
  <c r="O121" i="16"/>
  <c r="N120" i="16"/>
  <c r="N121" i="16"/>
  <c r="M120" i="16"/>
  <c r="M121" i="16"/>
  <c r="L120" i="16"/>
  <c r="L121" i="16"/>
  <c r="K120" i="16"/>
  <c r="K121" i="16"/>
  <c r="J120" i="16"/>
  <c r="J121" i="16"/>
  <c r="I120" i="16"/>
  <c r="I121" i="16"/>
  <c r="H120" i="16"/>
  <c r="H121" i="16"/>
  <c r="G120" i="16"/>
  <c r="G121" i="16"/>
  <c r="F120" i="16"/>
  <c r="F121" i="16"/>
  <c r="E120" i="16"/>
  <c r="E121" i="16"/>
  <c r="D120" i="16"/>
  <c r="D121" i="16"/>
  <c r="B34" i="16"/>
  <c r="D65" i="16"/>
  <c r="D66" i="16"/>
  <c r="D8" i="16"/>
  <c r="D67" i="16"/>
  <c r="D68" i="16"/>
  <c r="D9" i="16"/>
  <c r="D69" i="16"/>
  <c r="D70" i="16"/>
  <c r="D10" i="16"/>
  <c r="D11" i="16"/>
  <c r="D73" i="16"/>
  <c r="D74" i="16"/>
  <c r="D15" i="16"/>
  <c r="D17" i="16"/>
  <c r="D81" i="16"/>
  <c r="D82" i="16"/>
  <c r="D83" i="16"/>
  <c r="D84" i="16"/>
  <c r="D85" i="16"/>
  <c r="D20" i="16"/>
  <c r="D23" i="16"/>
  <c r="D25" i="16"/>
  <c r="E65" i="16"/>
  <c r="E66" i="16"/>
  <c r="E8" i="16"/>
  <c r="E67" i="16"/>
  <c r="E68" i="16"/>
  <c r="E9" i="16"/>
  <c r="E69" i="16"/>
  <c r="E70" i="16"/>
  <c r="E10" i="16"/>
  <c r="E11" i="16"/>
  <c r="E14" i="16"/>
  <c r="E73" i="16"/>
  <c r="E74" i="16"/>
  <c r="E15" i="16"/>
  <c r="E17" i="16"/>
  <c r="E81" i="16"/>
  <c r="E82" i="16"/>
  <c r="E83" i="16"/>
  <c r="E84" i="16"/>
  <c r="E85" i="16"/>
  <c r="E20" i="16"/>
  <c r="E93" i="16"/>
  <c r="E94" i="16"/>
  <c r="E95" i="16"/>
  <c r="E98" i="16"/>
  <c r="E99" i="16"/>
  <c r="E100" i="16"/>
  <c r="E101" i="16"/>
  <c r="E102" i="16"/>
  <c r="E23" i="16"/>
  <c r="E25" i="16"/>
  <c r="D109" i="16"/>
  <c r="D110" i="16"/>
  <c r="D111" i="16"/>
  <c r="D112" i="16"/>
  <c r="D113" i="16"/>
  <c r="E108" i="16"/>
  <c r="E109" i="16"/>
  <c r="E110" i="16"/>
  <c r="E111" i="16"/>
  <c r="E112" i="16"/>
  <c r="E28" i="16"/>
  <c r="E30" i="16"/>
  <c r="F65" i="16"/>
  <c r="F66" i="16"/>
  <c r="F8" i="16"/>
  <c r="F67" i="16"/>
  <c r="F68" i="16"/>
  <c r="F9" i="16"/>
  <c r="F69" i="16"/>
  <c r="F70" i="16"/>
  <c r="F10" i="16"/>
  <c r="F11" i="16"/>
  <c r="F14" i="16"/>
  <c r="F73" i="16"/>
  <c r="F74" i="16"/>
  <c r="F15" i="16"/>
  <c r="F17" i="16"/>
  <c r="F81" i="16"/>
  <c r="F82" i="16"/>
  <c r="F83" i="16"/>
  <c r="F84" i="16"/>
  <c r="F85" i="16"/>
  <c r="F20" i="16"/>
  <c r="F93" i="16"/>
  <c r="F94" i="16"/>
  <c r="F95" i="16"/>
  <c r="F98" i="16"/>
  <c r="F99" i="16"/>
  <c r="F100" i="16"/>
  <c r="F101" i="16"/>
  <c r="F102" i="16"/>
  <c r="F23" i="16"/>
  <c r="F25" i="16"/>
  <c r="E113" i="16"/>
  <c r="F108" i="16"/>
  <c r="F109" i="16"/>
  <c r="F110" i="16"/>
  <c r="F111" i="16"/>
  <c r="F112" i="16"/>
  <c r="F28" i="16"/>
  <c r="F30" i="16"/>
  <c r="G65" i="16"/>
  <c r="G66" i="16"/>
  <c r="G8" i="16"/>
  <c r="G67" i="16"/>
  <c r="G68" i="16"/>
  <c r="G9" i="16"/>
  <c r="G69" i="16"/>
  <c r="G70" i="16"/>
  <c r="G10" i="16"/>
  <c r="G11" i="16"/>
  <c r="G14" i="16"/>
  <c r="G73" i="16"/>
  <c r="G74" i="16"/>
  <c r="G15" i="16"/>
  <c r="G17" i="16"/>
  <c r="G81" i="16"/>
  <c r="G82" i="16"/>
  <c r="G83" i="16"/>
  <c r="G84" i="16"/>
  <c r="G85" i="16"/>
  <c r="G20" i="16"/>
  <c r="G93" i="16"/>
  <c r="G94" i="16"/>
  <c r="G95" i="16"/>
  <c r="G98" i="16"/>
  <c r="G99" i="16"/>
  <c r="G100" i="16"/>
  <c r="G101" i="16"/>
  <c r="G102" i="16"/>
  <c r="G23" i="16"/>
  <c r="G25" i="16"/>
  <c r="F113" i="16"/>
  <c r="G108" i="16"/>
  <c r="G109" i="16"/>
  <c r="G110" i="16"/>
  <c r="G111" i="16"/>
  <c r="G112" i="16"/>
  <c r="G28" i="16"/>
  <c r="G30" i="16"/>
  <c r="H65" i="16"/>
  <c r="H66" i="16"/>
  <c r="H8" i="16"/>
  <c r="H67" i="16"/>
  <c r="H68" i="16"/>
  <c r="H9" i="16"/>
  <c r="H69" i="16"/>
  <c r="H70" i="16"/>
  <c r="H10" i="16"/>
  <c r="H11" i="16"/>
  <c r="H14" i="16"/>
  <c r="H73" i="16"/>
  <c r="H74" i="16"/>
  <c r="H15" i="16"/>
  <c r="H17" i="16"/>
  <c r="H81" i="16"/>
  <c r="H82" i="16"/>
  <c r="H83" i="16"/>
  <c r="H84" i="16"/>
  <c r="H85" i="16"/>
  <c r="H20" i="16"/>
  <c r="H93" i="16"/>
  <c r="H94" i="16"/>
  <c r="H95" i="16"/>
  <c r="H98" i="16"/>
  <c r="H99" i="16"/>
  <c r="H100" i="16"/>
  <c r="H101" i="16"/>
  <c r="H102" i="16"/>
  <c r="H23" i="16"/>
  <c r="H25" i="16"/>
  <c r="G113" i="16"/>
  <c r="H108" i="16"/>
  <c r="H109" i="16"/>
  <c r="H110" i="16"/>
  <c r="H111" i="16"/>
  <c r="H112" i="16"/>
  <c r="H28" i="16"/>
  <c r="H30" i="16"/>
  <c r="I65" i="16"/>
  <c r="I66" i="16"/>
  <c r="I8" i="16"/>
  <c r="I67" i="16"/>
  <c r="I68" i="16"/>
  <c r="I9" i="16"/>
  <c r="I69" i="16"/>
  <c r="I70" i="16"/>
  <c r="I10" i="16"/>
  <c r="I11" i="16"/>
  <c r="I14" i="16"/>
  <c r="I73" i="16"/>
  <c r="I74" i="16"/>
  <c r="I15" i="16"/>
  <c r="I17" i="16"/>
  <c r="I81" i="16"/>
  <c r="I82" i="16"/>
  <c r="I83" i="16"/>
  <c r="I84" i="16"/>
  <c r="I85" i="16"/>
  <c r="I20" i="16"/>
  <c r="I93" i="16"/>
  <c r="I94" i="16"/>
  <c r="I95" i="16"/>
  <c r="I98" i="16"/>
  <c r="I99" i="16"/>
  <c r="I100" i="16"/>
  <c r="I101" i="16"/>
  <c r="I102" i="16"/>
  <c r="I23" i="16"/>
  <c r="I25" i="16"/>
  <c r="H113" i="16"/>
  <c r="I108" i="16"/>
  <c r="I109" i="16"/>
  <c r="I110" i="16"/>
  <c r="I111" i="16"/>
  <c r="I112" i="16"/>
  <c r="I28" i="16"/>
  <c r="I30" i="16"/>
  <c r="J65" i="16"/>
  <c r="J66" i="16"/>
  <c r="J8" i="16"/>
  <c r="J67" i="16"/>
  <c r="J68" i="16"/>
  <c r="J9" i="16"/>
  <c r="J69" i="16"/>
  <c r="J70" i="16"/>
  <c r="J10" i="16"/>
  <c r="J11" i="16"/>
  <c r="J14" i="16"/>
  <c r="J73" i="16"/>
  <c r="J74" i="16"/>
  <c r="J15" i="16"/>
  <c r="J17" i="16"/>
  <c r="J81" i="16"/>
  <c r="J82" i="16"/>
  <c r="J83" i="16"/>
  <c r="J84" i="16"/>
  <c r="J85" i="16"/>
  <c r="J20" i="16"/>
  <c r="J93" i="16"/>
  <c r="J94" i="16"/>
  <c r="J95" i="16"/>
  <c r="J98" i="16"/>
  <c r="J99" i="16"/>
  <c r="J100" i="16"/>
  <c r="J101" i="16"/>
  <c r="J102" i="16"/>
  <c r="J23" i="16"/>
  <c r="J25" i="16"/>
  <c r="I113" i="16"/>
  <c r="J108" i="16"/>
  <c r="J109" i="16"/>
  <c r="J110" i="16"/>
  <c r="J111" i="16"/>
  <c r="J112" i="16"/>
  <c r="J28" i="16"/>
  <c r="J30" i="16"/>
  <c r="K65" i="16"/>
  <c r="K66" i="16"/>
  <c r="K8" i="16"/>
  <c r="K67" i="16"/>
  <c r="K68" i="16"/>
  <c r="K9" i="16"/>
  <c r="K69" i="16"/>
  <c r="K70" i="16"/>
  <c r="K10" i="16"/>
  <c r="K11" i="16"/>
  <c r="K14" i="16"/>
  <c r="K73" i="16"/>
  <c r="K74" i="16"/>
  <c r="K15" i="16"/>
  <c r="K17" i="16"/>
  <c r="K81" i="16"/>
  <c r="K82" i="16"/>
  <c r="K83" i="16"/>
  <c r="K84" i="16"/>
  <c r="K85" i="16"/>
  <c r="K20" i="16"/>
  <c r="K93" i="16"/>
  <c r="K94" i="16"/>
  <c r="K95" i="16"/>
  <c r="K98" i="16"/>
  <c r="K99" i="16"/>
  <c r="K100" i="16"/>
  <c r="K101" i="16"/>
  <c r="K102" i="16"/>
  <c r="K23" i="16"/>
  <c r="K25" i="16"/>
  <c r="J113" i="16"/>
  <c r="K108" i="16"/>
  <c r="K109" i="16"/>
  <c r="K110" i="16"/>
  <c r="K111" i="16"/>
  <c r="K112" i="16"/>
  <c r="K28" i="16"/>
  <c r="K30" i="16"/>
  <c r="L65" i="16"/>
  <c r="L66" i="16"/>
  <c r="L8" i="16"/>
  <c r="L67" i="16"/>
  <c r="L68" i="16"/>
  <c r="L9" i="16"/>
  <c r="L69" i="16"/>
  <c r="L70" i="16"/>
  <c r="L10" i="16"/>
  <c r="L11" i="16"/>
  <c r="L14" i="16"/>
  <c r="L73" i="16"/>
  <c r="L74" i="16"/>
  <c r="L15" i="16"/>
  <c r="L17" i="16"/>
  <c r="L81" i="16"/>
  <c r="L82" i="16"/>
  <c r="L83" i="16"/>
  <c r="L84" i="16"/>
  <c r="L85" i="16"/>
  <c r="L20" i="16"/>
  <c r="L93" i="16"/>
  <c r="L94" i="16"/>
  <c r="L95" i="16"/>
  <c r="L98" i="16"/>
  <c r="L99" i="16"/>
  <c r="L100" i="16"/>
  <c r="L101" i="16"/>
  <c r="L102" i="16"/>
  <c r="L23" i="16"/>
  <c r="L25" i="16"/>
  <c r="K113" i="16"/>
  <c r="L108" i="16"/>
  <c r="L109" i="16"/>
  <c r="L110" i="16"/>
  <c r="L111" i="16"/>
  <c r="L112" i="16"/>
  <c r="L28" i="16"/>
  <c r="L30" i="16"/>
  <c r="M65" i="16"/>
  <c r="M66" i="16"/>
  <c r="M8" i="16"/>
  <c r="M67" i="16"/>
  <c r="M68" i="16"/>
  <c r="M9" i="16"/>
  <c r="M69" i="16"/>
  <c r="M70" i="16"/>
  <c r="M10" i="16"/>
  <c r="M11" i="16"/>
  <c r="M14" i="16"/>
  <c r="M73" i="16"/>
  <c r="M74" i="16"/>
  <c r="M15" i="16"/>
  <c r="M17" i="16"/>
  <c r="M81" i="16"/>
  <c r="M82" i="16"/>
  <c r="M83" i="16"/>
  <c r="M84" i="16"/>
  <c r="M85" i="16"/>
  <c r="M20" i="16"/>
  <c r="M93" i="16"/>
  <c r="M94" i="16"/>
  <c r="M95" i="16"/>
  <c r="M98" i="16"/>
  <c r="M99" i="16"/>
  <c r="M100" i="16"/>
  <c r="M101" i="16"/>
  <c r="M102" i="16"/>
  <c r="M23" i="16"/>
  <c r="M25" i="16"/>
  <c r="L113" i="16"/>
  <c r="M108" i="16"/>
  <c r="M109" i="16"/>
  <c r="M110" i="16"/>
  <c r="M111" i="16"/>
  <c r="M112" i="16"/>
  <c r="M28" i="16"/>
  <c r="M30" i="16"/>
  <c r="N65" i="16"/>
  <c r="N66" i="16"/>
  <c r="N8" i="16"/>
  <c r="N67" i="16"/>
  <c r="N68" i="16"/>
  <c r="N9" i="16"/>
  <c r="N69" i="16"/>
  <c r="N70" i="16"/>
  <c r="N10" i="16"/>
  <c r="N11" i="16"/>
  <c r="N14" i="16"/>
  <c r="N73" i="16"/>
  <c r="N74" i="16"/>
  <c r="N15" i="16"/>
  <c r="N17" i="16"/>
  <c r="N81" i="16"/>
  <c r="N82" i="16"/>
  <c r="N83" i="16"/>
  <c r="N84" i="16"/>
  <c r="N85" i="16"/>
  <c r="N20" i="16"/>
  <c r="N93" i="16"/>
  <c r="N94" i="16"/>
  <c r="N95" i="16"/>
  <c r="N98" i="16"/>
  <c r="N99" i="16"/>
  <c r="N100" i="16"/>
  <c r="N101" i="16"/>
  <c r="N102" i="16"/>
  <c r="N23" i="16"/>
  <c r="N25" i="16"/>
  <c r="M113" i="16"/>
  <c r="N108" i="16"/>
  <c r="N109" i="16"/>
  <c r="N110" i="16"/>
  <c r="N111" i="16"/>
  <c r="N112" i="16"/>
  <c r="N28" i="16"/>
  <c r="N30" i="16"/>
  <c r="O65" i="16"/>
  <c r="O66" i="16"/>
  <c r="O8" i="16"/>
  <c r="O67" i="16"/>
  <c r="O68" i="16"/>
  <c r="O9" i="16"/>
  <c r="O69" i="16"/>
  <c r="O70" i="16"/>
  <c r="O10" i="16"/>
  <c r="O11" i="16"/>
  <c r="O14" i="16"/>
  <c r="O73" i="16"/>
  <c r="O74" i="16"/>
  <c r="O15" i="16"/>
  <c r="O17" i="16"/>
  <c r="O81" i="16"/>
  <c r="O82" i="16"/>
  <c r="O83" i="16"/>
  <c r="O84" i="16"/>
  <c r="O85" i="16"/>
  <c r="O20" i="16"/>
  <c r="O93" i="16"/>
  <c r="O94" i="16"/>
  <c r="O95" i="16"/>
  <c r="O98" i="16"/>
  <c r="O99" i="16"/>
  <c r="O100" i="16"/>
  <c r="O101" i="16"/>
  <c r="O102" i="16"/>
  <c r="O23" i="16"/>
  <c r="O25" i="16"/>
  <c r="N113" i="16"/>
  <c r="O108" i="16"/>
  <c r="O109" i="16"/>
  <c r="O110" i="16"/>
  <c r="O111" i="16"/>
  <c r="O112" i="16"/>
  <c r="O28" i="16"/>
  <c r="O30" i="16"/>
  <c r="D28" i="16"/>
  <c r="D30" i="16"/>
  <c r="A99" i="16"/>
  <c r="A98" i="16"/>
  <c r="E26" i="16"/>
  <c r="F26" i="16"/>
  <c r="G26" i="16"/>
  <c r="H26" i="16"/>
  <c r="I26" i="16"/>
  <c r="J26" i="16"/>
  <c r="K26" i="16"/>
  <c r="L26" i="16"/>
  <c r="M26" i="16"/>
  <c r="D26" i="16"/>
  <c r="C95" i="16"/>
  <c r="E88" i="16"/>
  <c r="E89" i="16"/>
  <c r="E90" i="16"/>
  <c r="D96" i="16"/>
  <c r="E96" i="16"/>
  <c r="E104" i="16"/>
  <c r="F88" i="16"/>
  <c r="F89" i="16"/>
  <c r="F90" i="16"/>
  <c r="F96" i="16"/>
  <c r="F104" i="16"/>
  <c r="G88" i="16"/>
  <c r="G89" i="16"/>
  <c r="G90" i="16"/>
  <c r="G96" i="16"/>
  <c r="G104" i="16"/>
  <c r="H88" i="16"/>
  <c r="H89" i="16"/>
  <c r="H90" i="16"/>
  <c r="H96" i="16"/>
  <c r="H104" i="16"/>
  <c r="I88" i="16"/>
  <c r="I89" i="16"/>
  <c r="I90" i="16"/>
  <c r="I96" i="16"/>
  <c r="I104" i="16"/>
  <c r="J88" i="16"/>
  <c r="J89" i="16"/>
  <c r="J90" i="16"/>
  <c r="J96" i="16"/>
  <c r="J104" i="16"/>
  <c r="K88" i="16"/>
  <c r="K89" i="16"/>
  <c r="K90" i="16"/>
  <c r="K96" i="16"/>
  <c r="K104" i="16"/>
  <c r="L88" i="16"/>
  <c r="L89" i="16"/>
  <c r="L90" i="16"/>
  <c r="L96" i="16"/>
  <c r="L104" i="16"/>
  <c r="M88" i="16"/>
  <c r="M89" i="16"/>
  <c r="M90" i="16"/>
  <c r="M96" i="16"/>
  <c r="M104" i="16"/>
  <c r="N88" i="16"/>
  <c r="N89" i="16"/>
  <c r="N90" i="16"/>
  <c r="N96" i="16"/>
  <c r="N104" i="16"/>
  <c r="O88" i="16"/>
  <c r="O89" i="16"/>
  <c r="O90" i="16"/>
  <c r="O96" i="16"/>
  <c r="O104" i="16"/>
  <c r="D104" i="16"/>
  <c r="C78" i="7"/>
  <c r="A78" i="7"/>
  <c r="C54" i="6"/>
  <c r="F40" i="12"/>
  <c r="H42" i="12"/>
  <c r="H43" i="12"/>
  <c r="I42" i="12"/>
  <c r="I43" i="12"/>
  <c r="J42" i="12"/>
  <c r="J43" i="12"/>
  <c r="L42" i="12"/>
  <c r="L43" i="12"/>
  <c r="C23" i="10"/>
  <c r="C158" i="7"/>
  <c r="C153" i="7"/>
  <c r="C38" i="10"/>
  <c r="C33" i="10"/>
  <c r="C32" i="10"/>
  <c r="A116" i="16"/>
  <c r="C117" i="16"/>
  <c r="O113" i="16"/>
  <c r="C25" i="16"/>
  <c r="C11" i="16"/>
  <c r="C26" i="16"/>
  <c r="B83" i="16"/>
  <c r="B153" i="7"/>
  <c r="B82" i="16"/>
  <c r="B81" i="16"/>
  <c r="C83" i="16"/>
  <c r="C82" i="16"/>
  <c r="C81" i="16"/>
  <c r="A77" i="16"/>
  <c r="A78" i="16"/>
  <c r="C73" i="16"/>
  <c r="B73" i="16"/>
  <c r="A153" i="7"/>
  <c r="A73" i="16"/>
  <c r="A32" i="10"/>
  <c r="A65" i="16"/>
  <c r="A66" i="16"/>
  <c r="B89" i="16"/>
  <c r="A89" i="16"/>
  <c r="M60" i="7"/>
  <c r="N20" i="7"/>
  <c r="N21" i="7"/>
  <c r="N22" i="7"/>
  <c r="N23" i="7"/>
  <c r="N114" i="7"/>
  <c r="N115" i="7"/>
  <c r="N116" i="7"/>
  <c r="N117" i="7"/>
  <c r="N118" i="7"/>
  <c r="N119" i="7"/>
  <c r="N121" i="7"/>
  <c r="N122" i="7"/>
  <c r="N124" i="7"/>
  <c r="N125" i="7"/>
  <c r="N126" i="7"/>
  <c r="N127" i="7"/>
  <c r="N133" i="7"/>
  <c r="N134" i="7"/>
  <c r="N135" i="7"/>
  <c r="N136" i="7"/>
  <c r="N137" i="7"/>
  <c r="N139" i="7"/>
  <c r="N140" i="7"/>
  <c r="N142" i="7"/>
  <c r="N143" i="7"/>
  <c r="N145" i="7"/>
  <c r="N146" i="7"/>
  <c r="N147" i="7"/>
  <c r="N22" i="10"/>
  <c r="B20" i="16"/>
  <c r="A85" i="16"/>
  <c r="A20" i="16"/>
  <c r="C85" i="16"/>
  <c r="B16" i="16"/>
  <c r="A16" i="16"/>
  <c r="B15" i="16"/>
  <c r="A15" i="16"/>
  <c r="C74" i="16"/>
  <c r="C9" i="16"/>
  <c r="C10" i="16"/>
  <c r="B9" i="16"/>
  <c r="B10" i="16"/>
  <c r="A69" i="16"/>
  <c r="A70" i="16"/>
  <c r="A10" i="16"/>
  <c r="A67" i="16"/>
  <c r="A68" i="16"/>
  <c r="A9" i="16"/>
  <c r="C70" i="16"/>
  <c r="C68" i="16"/>
  <c r="C8" i="16"/>
  <c r="B8" i="16"/>
  <c r="A8" i="16"/>
  <c r="C66" i="16"/>
  <c r="O62" i="16"/>
  <c r="N62" i="16"/>
  <c r="M62" i="16"/>
  <c r="L62" i="16"/>
  <c r="K62" i="16"/>
  <c r="J62" i="16"/>
  <c r="I62" i="16"/>
  <c r="H62" i="16"/>
  <c r="G62" i="16"/>
  <c r="F62" i="16"/>
  <c r="E62" i="16"/>
  <c r="D62" i="16"/>
  <c r="A61" i="16"/>
  <c r="A62" i="16"/>
  <c r="M162" i="7"/>
  <c r="B126" i="16"/>
  <c r="B116" i="16"/>
  <c r="C24" i="7"/>
  <c r="C25" i="11"/>
  <c r="B111" i="16"/>
  <c r="B109" i="16"/>
  <c r="E103" i="16"/>
  <c r="F103" i="16"/>
  <c r="G103" i="16"/>
  <c r="H103" i="16"/>
  <c r="I103" i="16"/>
  <c r="J103" i="16"/>
  <c r="K103" i="16"/>
  <c r="L103" i="16"/>
  <c r="M103" i="16"/>
  <c r="N103" i="16"/>
  <c r="O103" i="16"/>
  <c r="C102" i="16"/>
  <c r="C94" i="16"/>
  <c r="B93" i="16"/>
  <c r="A93" i="16"/>
  <c r="B25" i="11"/>
  <c r="A25" i="11"/>
  <c r="B77" i="16"/>
  <c r="C84" i="16"/>
  <c r="A23" i="10"/>
  <c r="A83" i="16"/>
  <c r="A82" i="16"/>
  <c r="A158" i="7"/>
  <c r="A81" i="16"/>
  <c r="C65" i="16"/>
  <c r="B32" i="10"/>
  <c r="B65" i="16"/>
  <c r="O39" i="16"/>
  <c r="O40" i="16"/>
  <c r="O41" i="16"/>
  <c r="O43" i="16"/>
  <c r="O51" i="16"/>
  <c r="O52" i="16"/>
  <c r="O54" i="16"/>
  <c r="O56" i="16"/>
  <c r="N39" i="16"/>
  <c r="N40" i="16"/>
  <c r="N41" i="16"/>
  <c r="N43" i="16"/>
  <c r="N51" i="16"/>
  <c r="N52" i="16"/>
  <c r="N54" i="16"/>
  <c r="N56" i="16"/>
  <c r="M39" i="16"/>
  <c r="M40" i="16"/>
  <c r="M41" i="16"/>
  <c r="M43" i="16"/>
  <c r="M51" i="16"/>
  <c r="M52" i="16"/>
  <c r="M54" i="16"/>
  <c r="M56" i="16"/>
  <c r="L39" i="16"/>
  <c r="L40" i="16"/>
  <c r="L41" i="16"/>
  <c r="L43" i="16"/>
  <c r="L51" i="16"/>
  <c r="L52" i="16"/>
  <c r="L54" i="16"/>
  <c r="L56" i="16"/>
  <c r="K39" i="16"/>
  <c r="K40" i="16"/>
  <c r="K41" i="16"/>
  <c r="K43" i="16"/>
  <c r="K51" i="16"/>
  <c r="K52" i="16"/>
  <c r="K54" i="16"/>
  <c r="K56" i="16"/>
  <c r="J39" i="16"/>
  <c r="J40" i="16"/>
  <c r="J41" i="16"/>
  <c r="J43" i="16"/>
  <c r="J51" i="16"/>
  <c r="J52" i="16"/>
  <c r="J54" i="16"/>
  <c r="J56" i="16"/>
  <c r="I39" i="16"/>
  <c r="I40" i="16"/>
  <c r="I41" i="16"/>
  <c r="I43" i="16"/>
  <c r="I51" i="16"/>
  <c r="I52" i="16"/>
  <c r="I54" i="16"/>
  <c r="I56" i="16"/>
  <c r="H39" i="16"/>
  <c r="H40" i="16"/>
  <c r="H41" i="16"/>
  <c r="H43" i="16"/>
  <c r="H51" i="16"/>
  <c r="H52" i="16"/>
  <c r="H54" i="16"/>
  <c r="H56" i="16"/>
  <c r="G39" i="16"/>
  <c r="G40" i="16"/>
  <c r="G41" i="16"/>
  <c r="G43" i="16"/>
  <c r="G51" i="16"/>
  <c r="G52" i="16"/>
  <c r="G54" i="16"/>
  <c r="G56" i="16"/>
  <c r="F39" i="16"/>
  <c r="F40" i="16"/>
  <c r="F41" i="16"/>
  <c r="F43" i="16"/>
  <c r="F51" i="16"/>
  <c r="F52" i="16"/>
  <c r="F54" i="16"/>
  <c r="F56" i="16"/>
  <c r="E39" i="16"/>
  <c r="E40" i="16"/>
  <c r="E41" i="16"/>
  <c r="E43" i="16"/>
  <c r="E51" i="16"/>
  <c r="E52" i="16"/>
  <c r="E54" i="16"/>
  <c r="E56" i="16"/>
  <c r="B51" i="16"/>
  <c r="A51" i="16"/>
  <c r="B47" i="16"/>
  <c r="A47" i="16"/>
  <c r="B122" i="16"/>
  <c r="B41" i="16"/>
  <c r="B40" i="16"/>
  <c r="A40" i="16"/>
  <c r="B39" i="16"/>
  <c r="A39" i="16"/>
  <c r="B35" i="16"/>
  <c r="A35" i="16"/>
  <c r="B120" i="16"/>
  <c r="B28" i="16"/>
  <c r="A28" i="16"/>
  <c r="C23" i="16"/>
  <c r="B23" i="16"/>
  <c r="A23" i="16"/>
  <c r="C20" i="16"/>
  <c r="C17" i="16"/>
  <c r="C15" i="16"/>
  <c r="C69" i="16"/>
  <c r="B69" i="16"/>
  <c r="C67" i="16"/>
  <c r="B67" i="16"/>
  <c r="E25" i="6"/>
  <c r="F25" i="6"/>
  <c r="G25" i="6"/>
  <c r="H25" i="6"/>
  <c r="I25" i="6"/>
  <c r="J25" i="6"/>
  <c r="K25" i="6"/>
  <c r="L25" i="6"/>
  <c r="M25" i="6"/>
  <c r="N25" i="6"/>
  <c r="O25" i="6"/>
  <c r="O4" i="16"/>
  <c r="N4" i="16"/>
  <c r="M4" i="16"/>
  <c r="L4" i="16"/>
  <c r="K4" i="16"/>
  <c r="J4" i="16"/>
  <c r="I4" i="16"/>
  <c r="H4" i="16"/>
  <c r="G4" i="16"/>
  <c r="F4" i="16"/>
  <c r="E4" i="16"/>
  <c r="D4" i="16"/>
  <c r="C4" i="16"/>
  <c r="B4" i="16"/>
  <c r="A4" i="16"/>
  <c r="E75" i="12"/>
  <c r="F72" i="12"/>
  <c r="F65" i="12"/>
  <c r="F66" i="12"/>
  <c r="F67" i="12"/>
  <c r="F69" i="12"/>
  <c r="F70" i="12"/>
  <c r="F73" i="12"/>
  <c r="F74" i="12"/>
  <c r="F77" i="12"/>
  <c r="F78" i="12"/>
  <c r="F80" i="12"/>
  <c r="F81" i="12"/>
  <c r="F82" i="12"/>
  <c r="F84" i="12"/>
  <c r="B57" i="12"/>
  <c r="B55" i="12"/>
  <c r="A55" i="12"/>
  <c r="A34" i="12"/>
  <c r="A57" i="12"/>
  <c r="O43" i="12"/>
  <c r="N43" i="12"/>
  <c r="M43" i="12"/>
  <c r="K43" i="12"/>
  <c r="C57" i="12"/>
  <c r="B46" i="10"/>
  <c r="A33" i="10"/>
  <c r="A46" i="10"/>
  <c r="C46" i="10"/>
  <c r="N21" i="10"/>
  <c r="H180" i="7"/>
  <c r="H185" i="7"/>
  <c r="I109" i="7"/>
  <c r="C45" i="7"/>
  <c r="C46" i="7"/>
  <c r="O44" i="7"/>
  <c r="C43" i="7"/>
  <c r="O23" i="7"/>
  <c r="G33" i="12"/>
  <c r="B90" i="12"/>
  <c r="B89" i="12"/>
  <c r="A72" i="10"/>
  <c r="A89" i="12"/>
  <c r="O77" i="12"/>
  <c r="N77" i="12"/>
  <c r="M77" i="12"/>
  <c r="L77" i="12"/>
  <c r="K77" i="12"/>
  <c r="J77" i="12"/>
  <c r="I77" i="12"/>
  <c r="H77" i="12"/>
  <c r="G77" i="12"/>
  <c r="E77" i="12"/>
  <c r="D77" i="12"/>
  <c r="B77" i="12"/>
  <c r="A77" i="12"/>
  <c r="O39" i="6"/>
  <c r="N162" i="7"/>
  <c r="O162" i="7"/>
  <c r="H33" i="12"/>
  <c r="I33" i="12"/>
  <c r="J33" i="12"/>
  <c r="K33" i="12"/>
  <c r="L33" i="12"/>
  <c r="M33" i="12"/>
  <c r="N33" i="12"/>
  <c r="O33" i="12"/>
  <c r="B36" i="10"/>
  <c r="B37" i="10"/>
  <c r="A36" i="10"/>
  <c r="B22" i="10"/>
  <c r="A22" i="10"/>
  <c r="B203" i="7"/>
  <c r="A203" i="7"/>
  <c r="D189" i="7"/>
  <c r="E184" i="7"/>
  <c r="F184" i="7"/>
  <c r="G184" i="7"/>
  <c r="H184" i="7"/>
  <c r="I184" i="7"/>
  <c r="J184" i="7"/>
  <c r="K184" i="7"/>
  <c r="L184" i="7"/>
  <c r="M184" i="7"/>
  <c r="N184" i="7"/>
  <c r="O184" i="7"/>
  <c r="D184" i="7"/>
  <c r="E179" i="7"/>
  <c r="F179" i="7"/>
  <c r="G179" i="7"/>
  <c r="H179" i="7"/>
  <c r="I179" i="7"/>
  <c r="J179" i="7"/>
  <c r="K179" i="7"/>
  <c r="L179" i="7"/>
  <c r="M179" i="7"/>
  <c r="N179" i="7"/>
  <c r="O179" i="7"/>
  <c r="D179" i="7"/>
  <c r="B199" i="7"/>
  <c r="B195" i="7"/>
  <c r="B194" i="7"/>
  <c r="C189" i="7"/>
  <c r="B189" i="7"/>
  <c r="A189" i="7"/>
  <c r="C184" i="7"/>
  <c r="B184" i="7"/>
  <c r="A184" i="7"/>
  <c r="C179" i="7"/>
  <c r="B179" i="7"/>
  <c r="A179" i="7"/>
  <c r="A150" i="7"/>
  <c r="A199" i="7"/>
  <c r="B154" i="7"/>
  <c r="B155" i="7"/>
  <c r="B156" i="7"/>
  <c r="B157" i="7"/>
  <c r="A155" i="7"/>
  <c r="A154" i="7"/>
  <c r="O134" i="7"/>
  <c r="O135" i="7"/>
  <c r="O137" i="7"/>
  <c r="O139" i="7"/>
  <c r="O140" i="7"/>
  <c r="O145" i="7"/>
  <c r="O146" i="7"/>
  <c r="O147" i="7"/>
  <c r="O118" i="7"/>
  <c r="O119" i="7"/>
  <c r="O121" i="7"/>
  <c r="O122" i="7"/>
  <c r="O124" i="7"/>
  <c r="O125" i="7"/>
  <c r="O126" i="7"/>
  <c r="O127" i="7"/>
  <c r="O117" i="7"/>
  <c r="O116" i="7"/>
  <c r="O115" i="7"/>
  <c r="O114" i="7"/>
  <c r="O133" i="7"/>
  <c r="O22" i="10"/>
  <c r="A109" i="7"/>
  <c r="A195" i="7"/>
  <c r="B105" i="7"/>
  <c r="A105" i="7"/>
  <c r="B99" i="7"/>
  <c r="E180" i="7"/>
  <c r="E185" i="7"/>
  <c r="D180" i="7"/>
  <c r="D185" i="7"/>
  <c r="O143" i="7"/>
  <c r="O142" i="7"/>
  <c r="C121" i="7"/>
  <c r="C114" i="7"/>
  <c r="C116" i="7"/>
  <c r="O48" i="7"/>
  <c r="N48" i="7"/>
  <c r="M48" i="7"/>
  <c r="L48" i="7"/>
  <c r="K48" i="7"/>
  <c r="J48" i="7"/>
  <c r="I48" i="7"/>
  <c r="H48" i="7"/>
  <c r="G48" i="7"/>
  <c r="F48" i="7"/>
  <c r="E48" i="7"/>
  <c r="D48" i="7"/>
  <c r="C48" i="7"/>
  <c r="B48" i="7"/>
  <c r="A48" i="7"/>
  <c r="O21" i="7"/>
  <c r="O22" i="7"/>
  <c r="B66" i="6"/>
  <c r="B59" i="6"/>
  <c r="A66" i="6"/>
  <c r="F180" i="7"/>
  <c r="D190" i="7"/>
  <c r="F185" i="7"/>
  <c r="E181" i="7"/>
  <c r="D181" i="7"/>
  <c r="C143" i="7"/>
  <c r="C142" i="7"/>
  <c r="O20" i="7"/>
  <c r="N60" i="7"/>
  <c r="O60" i="7"/>
  <c r="D43" i="11"/>
  <c r="E42" i="11"/>
  <c r="F42" i="11"/>
  <c r="G42" i="11"/>
  <c r="H42" i="11"/>
  <c r="I42" i="11"/>
  <c r="J42" i="11"/>
  <c r="K42" i="11"/>
  <c r="L42" i="11"/>
  <c r="M42" i="11"/>
  <c r="N42" i="11"/>
  <c r="O42" i="11"/>
  <c r="B76" i="6"/>
  <c r="A24" i="11"/>
  <c r="B24" i="11"/>
  <c r="A38" i="10"/>
  <c r="B77" i="6"/>
  <c r="A77" i="6"/>
  <c r="A76" i="6"/>
  <c r="B75" i="6"/>
  <c r="B26" i="11"/>
  <c r="B27" i="11"/>
  <c r="A27" i="11"/>
  <c r="A26" i="11"/>
  <c r="D81" i="12"/>
  <c r="A59" i="6"/>
  <c r="D56" i="6"/>
  <c r="C56" i="6"/>
  <c r="B56" i="6"/>
  <c r="A56" i="6"/>
  <c r="A84" i="12"/>
  <c r="A86" i="12"/>
  <c r="A85" i="12"/>
  <c r="A81" i="12"/>
  <c r="A66" i="12"/>
  <c r="B80" i="12"/>
  <c r="A48" i="10"/>
  <c r="A80" i="12"/>
  <c r="B56" i="12"/>
  <c r="B75" i="12"/>
  <c r="B74" i="12"/>
  <c r="B73" i="12"/>
  <c r="B69" i="12"/>
  <c r="A69" i="12"/>
  <c r="B65" i="12"/>
  <c r="A65" i="12"/>
  <c r="B58" i="12"/>
  <c r="A58" i="12"/>
  <c r="A56" i="12"/>
  <c r="B59" i="10"/>
  <c r="B58" i="10"/>
  <c r="B17" i="10"/>
  <c r="A17" i="10"/>
  <c r="A148" i="7"/>
  <c r="A157" i="7"/>
  <c r="A156" i="7"/>
  <c r="B20" i="12"/>
  <c r="A20" i="12"/>
  <c r="D16" i="12"/>
  <c r="C16" i="12"/>
  <c r="B16" i="12"/>
  <c r="A16" i="12"/>
  <c r="A1" i="12"/>
  <c r="B60" i="10"/>
  <c r="A60" i="10"/>
  <c r="D48" i="11"/>
  <c r="C48" i="11"/>
  <c r="B48" i="11"/>
  <c r="A48" i="11"/>
  <c r="B21" i="11"/>
  <c r="A21" i="11"/>
  <c r="D18" i="11"/>
  <c r="C18" i="11"/>
  <c r="B18" i="11"/>
  <c r="A18" i="11"/>
  <c r="A1" i="11"/>
  <c r="B17" i="7"/>
  <c r="A17" i="7"/>
  <c r="D14" i="7"/>
  <c r="C14" i="7"/>
  <c r="B14" i="7"/>
  <c r="A14" i="7"/>
  <c r="B45" i="10"/>
  <c r="A45" i="10"/>
  <c r="B57" i="10"/>
  <c r="B55" i="10"/>
  <c r="A55" i="10"/>
  <c r="D11" i="10"/>
  <c r="D76" i="10"/>
  <c r="C11" i="10"/>
  <c r="C76" i="10"/>
  <c r="B11" i="10"/>
  <c r="B76" i="10"/>
  <c r="A11" i="10"/>
  <c r="A76" i="10"/>
  <c r="A1" i="10"/>
  <c r="B56" i="7"/>
  <c r="B55" i="7"/>
  <c r="B54" i="7"/>
  <c r="B53" i="7"/>
  <c r="A56" i="7"/>
  <c r="A55" i="7"/>
  <c r="A54" i="7"/>
  <c r="A53" i="7"/>
  <c r="A1" i="7"/>
  <c r="D96" i="6"/>
  <c r="C96" i="6"/>
  <c r="A96" i="6"/>
  <c r="A1" i="6"/>
  <c r="A37" i="10"/>
  <c r="E43" i="11"/>
  <c r="F43" i="11"/>
  <c r="G43" i="11"/>
  <c r="H43" i="11"/>
  <c r="I43" i="11"/>
  <c r="A194" i="7"/>
  <c r="D85" i="12"/>
  <c r="A58" i="10"/>
  <c r="E189" i="7"/>
  <c r="E190" i="7"/>
  <c r="G185" i="7"/>
  <c r="G180" i="7"/>
  <c r="A50" i="11"/>
  <c r="C20" i="7"/>
  <c r="A49" i="11"/>
  <c r="C145" i="7"/>
  <c r="C115" i="7"/>
  <c r="A57" i="10"/>
  <c r="C146" i="7"/>
  <c r="C147" i="7"/>
  <c r="C127" i="7"/>
  <c r="C126" i="7"/>
  <c r="C119" i="7"/>
  <c r="C122" i="7"/>
  <c r="C124" i="7"/>
  <c r="C125" i="7"/>
  <c r="C117" i="7"/>
  <c r="E11" i="10"/>
  <c r="E76" i="10"/>
  <c r="E48" i="11"/>
  <c r="A51" i="11"/>
  <c r="A59" i="10"/>
  <c r="E14" i="7"/>
  <c r="E16" i="12"/>
  <c r="E56" i="6"/>
  <c r="E96" i="6"/>
  <c r="E18" i="11"/>
  <c r="C34" i="6"/>
  <c r="A75" i="6"/>
  <c r="C36" i="6"/>
  <c r="E21" i="11"/>
  <c r="C35" i="6"/>
  <c r="D20" i="12"/>
  <c r="D21" i="11"/>
  <c r="G96" i="6"/>
  <c r="F48" i="11"/>
  <c r="F14" i="7"/>
  <c r="F18" i="11"/>
  <c r="F96" i="6"/>
  <c r="C118" i="7"/>
  <c r="F11" i="10"/>
  <c r="F76" i="10"/>
  <c r="F16" i="12"/>
  <c r="F56" i="6"/>
  <c r="J43" i="11"/>
  <c r="K43" i="11"/>
  <c r="L43" i="11"/>
  <c r="M43" i="11"/>
  <c r="N43" i="11"/>
  <c r="O43" i="11"/>
  <c r="E20" i="12"/>
  <c r="D186" i="7"/>
  <c r="D203" i="7"/>
  <c r="E203" i="7"/>
  <c r="E81" i="12"/>
  <c r="E85" i="12"/>
  <c r="F189" i="7"/>
  <c r="F190" i="7"/>
  <c r="F181" i="7"/>
  <c r="C134" i="7"/>
  <c r="C137" i="7"/>
  <c r="C140" i="7"/>
  <c r="C135" i="7"/>
  <c r="C139" i="7"/>
  <c r="C133" i="7"/>
  <c r="C22" i="10"/>
  <c r="C53" i="7"/>
  <c r="H39" i="6"/>
  <c r="D39" i="6"/>
  <c r="M39" i="6"/>
  <c r="N39" i="6"/>
  <c r="L39" i="6"/>
  <c r="M21" i="11"/>
  <c r="G21" i="11"/>
  <c r="G39" i="6"/>
  <c r="K39" i="6"/>
  <c r="J39" i="6"/>
  <c r="I39" i="6"/>
  <c r="F39" i="6"/>
  <c r="M20" i="12"/>
  <c r="E39" i="6"/>
  <c r="G20" i="12"/>
  <c r="G14" i="7"/>
  <c r="C55" i="7"/>
  <c r="F20" i="12"/>
  <c r="F21" i="11"/>
  <c r="C54" i="7"/>
  <c r="G18" i="11"/>
  <c r="G48" i="11"/>
  <c r="G11" i="10"/>
  <c r="G76" i="10"/>
  <c r="G56" i="6"/>
  <c r="G16" i="12"/>
  <c r="K21" i="11"/>
  <c r="K20" i="12"/>
  <c r="O21" i="11"/>
  <c r="O20" i="12"/>
  <c r="L20" i="12"/>
  <c r="L21" i="11"/>
  <c r="J20" i="12"/>
  <c r="J21" i="11"/>
  <c r="F85" i="12"/>
  <c r="H20" i="12"/>
  <c r="C105" i="7"/>
  <c r="H21" i="11"/>
  <c r="I20" i="12"/>
  <c r="I21" i="11"/>
  <c r="N20" i="12"/>
  <c r="N21" i="11"/>
  <c r="D191" i="7"/>
  <c r="E186" i="7"/>
  <c r="C77" i="7"/>
  <c r="E150" i="7"/>
  <c r="E199" i="7"/>
  <c r="G203" i="7"/>
  <c r="H203" i="7"/>
  <c r="K203" i="7"/>
  <c r="I203" i="7"/>
  <c r="N203" i="7"/>
  <c r="L203" i="7"/>
  <c r="F203" i="7"/>
  <c r="J203" i="7"/>
  <c r="M203" i="7"/>
  <c r="E194" i="7"/>
  <c r="C194" i="7"/>
  <c r="D194" i="7"/>
  <c r="G189" i="7"/>
  <c r="F191" i="7"/>
  <c r="O49" i="11"/>
  <c r="O203" i="7"/>
  <c r="I180" i="7"/>
  <c r="G190" i="7"/>
  <c r="G191" i="7"/>
  <c r="I185" i="7"/>
  <c r="G181" i="7"/>
  <c r="D150" i="7"/>
  <c r="D199" i="7"/>
  <c r="C64" i="7"/>
  <c r="C67" i="7"/>
  <c r="C61" i="7"/>
  <c r="C66" i="6"/>
  <c r="C59" i="6"/>
  <c r="H14" i="7"/>
  <c r="H11" i="10"/>
  <c r="H76" i="10"/>
  <c r="H16" i="12"/>
  <c r="H18" i="11"/>
  <c r="H56" i="6"/>
  <c r="H96" i="6"/>
  <c r="H48" i="11"/>
  <c r="C61" i="6"/>
  <c r="C17" i="10"/>
  <c r="C21" i="11"/>
  <c r="C17" i="7"/>
  <c r="C20" i="12"/>
  <c r="C56" i="7"/>
  <c r="G85" i="12"/>
  <c r="G81" i="12"/>
  <c r="G66" i="12"/>
  <c r="C76" i="7"/>
  <c r="G150" i="7"/>
  <c r="G199" i="7"/>
  <c r="F194" i="7"/>
  <c r="G194" i="7"/>
  <c r="H189" i="7"/>
  <c r="J185" i="7"/>
  <c r="J180" i="7"/>
  <c r="H190" i="7"/>
  <c r="H186" i="7"/>
  <c r="I186" i="7"/>
  <c r="H181" i="7"/>
  <c r="J150" i="7"/>
  <c r="J199" i="7"/>
  <c r="O150" i="7"/>
  <c r="O199" i="7"/>
  <c r="F150" i="7"/>
  <c r="F199" i="7"/>
  <c r="K150" i="7"/>
  <c r="K199" i="7"/>
  <c r="H150" i="7"/>
  <c r="H199" i="7"/>
  <c r="I150" i="7"/>
  <c r="I199" i="7"/>
  <c r="C71" i="7"/>
  <c r="C70" i="7"/>
  <c r="C68" i="6"/>
  <c r="I11" i="10"/>
  <c r="I76" i="10"/>
  <c r="I18" i="11"/>
  <c r="I96" i="6"/>
  <c r="I48" i="11"/>
  <c r="I56" i="6"/>
  <c r="I14" i="7"/>
  <c r="I16" i="12"/>
  <c r="C76" i="6"/>
  <c r="H81" i="12"/>
  <c r="H66" i="12"/>
  <c r="H85" i="12"/>
  <c r="C128" i="7"/>
  <c r="C72" i="7"/>
  <c r="C99" i="7"/>
  <c r="C75" i="7"/>
  <c r="H191" i="7"/>
  <c r="H194" i="7"/>
  <c r="I189" i="7"/>
  <c r="I190" i="7"/>
  <c r="K180" i="7"/>
  <c r="K185" i="7"/>
  <c r="E191" i="7"/>
  <c r="J186" i="7"/>
  <c r="I181" i="7"/>
  <c r="G186" i="7"/>
  <c r="F186" i="7"/>
  <c r="D109" i="7"/>
  <c r="D195" i="7"/>
  <c r="D196" i="7"/>
  <c r="D200" i="7"/>
  <c r="D204" i="7"/>
  <c r="L49" i="11"/>
  <c r="C22" i="7"/>
  <c r="J48" i="11"/>
  <c r="J14" i="7"/>
  <c r="J16" i="12"/>
  <c r="J56" i="6"/>
  <c r="J96" i="6"/>
  <c r="J11" i="10"/>
  <c r="J76" i="10"/>
  <c r="J18" i="11"/>
  <c r="D80" i="12"/>
  <c r="D82" i="12"/>
  <c r="I85" i="12"/>
  <c r="I66" i="12"/>
  <c r="I81" i="12"/>
  <c r="C21" i="7"/>
  <c r="C23" i="7"/>
  <c r="C156" i="7"/>
  <c r="D49" i="11"/>
  <c r="C73" i="7"/>
  <c r="L150" i="7"/>
  <c r="L199" i="7"/>
  <c r="I191" i="7"/>
  <c r="I194" i="7"/>
  <c r="J189" i="7"/>
  <c r="J190" i="7"/>
  <c r="L185" i="7"/>
  <c r="L180" i="7"/>
  <c r="K186" i="7"/>
  <c r="J181" i="7"/>
  <c r="G109" i="7"/>
  <c r="G195" i="7"/>
  <c r="G196" i="7"/>
  <c r="G200" i="7"/>
  <c r="C203" i="7"/>
  <c r="F109" i="7"/>
  <c r="F195" i="7"/>
  <c r="F196" i="7"/>
  <c r="F200" i="7"/>
  <c r="F204" i="7"/>
  <c r="H109" i="7"/>
  <c r="H195" i="7"/>
  <c r="H196" i="7"/>
  <c r="H200" i="7"/>
  <c r="H204" i="7"/>
  <c r="I195" i="7"/>
  <c r="I196" i="7"/>
  <c r="I200" i="7"/>
  <c r="I204" i="7"/>
  <c r="E109" i="7"/>
  <c r="E195" i="7"/>
  <c r="C107" i="7"/>
  <c r="E80" i="12"/>
  <c r="E82" i="12"/>
  <c r="K56" i="6"/>
  <c r="K96" i="6"/>
  <c r="K16" i="12"/>
  <c r="K18" i="11"/>
  <c r="K48" i="11"/>
  <c r="K14" i="7"/>
  <c r="K11" i="10"/>
  <c r="K76" i="10"/>
  <c r="C36" i="10"/>
  <c r="E49" i="11"/>
  <c r="M49" i="11"/>
  <c r="F49" i="11"/>
  <c r="J85" i="12"/>
  <c r="J66" i="12"/>
  <c r="J81" i="12"/>
  <c r="J191" i="7"/>
  <c r="J194" i="7"/>
  <c r="K189" i="7"/>
  <c r="H207" i="7"/>
  <c r="G204" i="7"/>
  <c r="M185" i="7"/>
  <c r="M180" i="7"/>
  <c r="K190" i="7"/>
  <c r="E196" i="7"/>
  <c r="L186" i="7"/>
  <c r="K181" i="7"/>
  <c r="F207" i="7"/>
  <c r="M150" i="7"/>
  <c r="M199" i="7"/>
  <c r="O136" i="7"/>
  <c r="L96" i="6"/>
  <c r="L18" i="11"/>
  <c r="L56" i="6"/>
  <c r="L16" i="12"/>
  <c r="L11" i="10"/>
  <c r="L76" i="10"/>
  <c r="L14" i="7"/>
  <c r="L48" i="11"/>
  <c r="I49" i="11"/>
  <c r="K49" i="11"/>
  <c r="G49" i="11"/>
  <c r="N49" i="11"/>
  <c r="H49" i="11"/>
  <c r="J49" i="11"/>
  <c r="K85" i="12"/>
  <c r="K66" i="12"/>
  <c r="K81" i="12"/>
  <c r="K191" i="7"/>
  <c r="N150" i="7"/>
  <c r="N199" i="7"/>
  <c r="G80" i="12"/>
  <c r="G82" i="12"/>
  <c r="K194" i="7"/>
  <c r="L189" i="7"/>
  <c r="D207" i="7"/>
  <c r="I207" i="7"/>
  <c r="N180" i="7"/>
  <c r="C199" i="7"/>
  <c r="E200" i="7"/>
  <c r="E204" i="7"/>
  <c r="L190" i="7"/>
  <c r="L191" i="7"/>
  <c r="J109" i="7"/>
  <c r="K109" i="7"/>
  <c r="K195" i="7"/>
  <c r="N185" i="7"/>
  <c r="M186" i="7"/>
  <c r="L181" i="7"/>
  <c r="E207" i="7"/>
  <c r="C148" i="7"/>
  <c r="C136" i="7"/>
  <c r="M96" i="6"/>
  <c r="M14" i="7"/>
  <c r="M48" i="11"/>
  <c r="M16" i="12"/>
  <c r="M56" i="6"/>
  <c r="M11" i="10"/>
  <c r="M76" i="10"/>
  <c r="M18" i="11"/>
  <c r="L85" i="12"/>
  <c r="L66" i="12"/>
  <c r="L81" i="12"/>
  <c r="K196" i="7"/>
  <c r="K200" i="7"/>
  <c r="K204" i="7"/>
  <c r="M189" i="7"/>
  <c r="J195" i="7"/>
  <c r="M190" i="7"/>
  <c r="O185" i="7"/>
  <c r="O186" i="7"/>
  <c r="O180" i="7"/>
  <c r="O181" i="7"/>
  <c r="C92" i="7"/>
  <c r="N186" i="7"/>
  <c r="C52" i="6"/>
  <c r="M181" i="7"/>
  <c r="C150" i="7"/>
  <c r="C157" i="7"/>
  <c r="F50" i="11"/>
  <c r="H80" i="12"/>
  <c r="H82" i="12"/>
  <c r="N16" i="12"/>
  <c r="N14" i="7"/>
  <c r="N11" i="10"/>
  <c r="N76" i="10"/>
  <c r="N56" i="6"/>
  <c r="N48" i="11"/>
  <c r="N18" i="11"/>
  <c r="N96" i="6"/>
  <c r="M85" i="12"/>
  <c r="M66" i="12"/>
  <c r="M81" i="12"/>
  <c r="C77" i="6"/>
  <c r="C155" i="7"/>
  <c r="C72" i="6"/>
  <c r="C164" i="7"/>
  <c r="M191" i="7"/>
  <c r="O21" i="10"/>
  <c r="N189" i="7"/>
  <c r="L194" i="7"/>
  <c r="G207" i="7"/>
  <c r="K207" i="7"/>
  <c r="J207" i="7"/>
  <c r="M109" i="7"/>
  <c r="M195" i="7"/>
  <c r="J196" i="7"/>
  <c r="L109" i="7"/>
  <c r="C93" i="7"/>
  <c r="N190" i="7"/>
  <c r="N181" i="7"/>
  <c r="C51" i="6"/>
  <c r="I80" i="12"/>
  <c r="I82" i="12"/>
  <c r="O96" i="6"/>
  <c r="O14" i="7"/>
  <c r="O56" i="6"/>
  <c r="O48" i="11"/>
  <c r="O16" i="12"/>
  <c r="O18" i="11"/>
  <c r="O11" i="10"/>
  <c r="O76" i="10"/>
  <c r="D50" i="11"/>
  <c r="N81" i="12"/>
  <c r="N66" i="12"/>
  <c r="N85" i="12"/>
  <c r="I50" i="11"/>
  <c r="E50" i="11"/>
  <c r="N191" i="7"/>
  <c r="M194" i="7"/>
  <c r="M196" i="7"/>
  <c r="M200" i="7"/>
  <c r="M204" i="7"/>
  <c r="N194" i="7"/>
  <c r="O189" i="7"/>
  <c r="C53" i="6"/>
  <c r="J200" i="7"/>
  <c r="J204" i="7"/>
  <c r="O190" i="7"/>
  <c r="L195" i="7"/>
  <c r="J80" i="12"/>
  <c r="J82" i="12"/>
  <c r="H65" i="12"/>
  <c r="H67" i="12"/>
  <c r="O85" i="12"/>
  <c r="O81" i="12"/>
  <c r="O66" i="12"/>
  <c r="C94" i="7"/>
  <c r="C58" i="10"/>
  <c r="O191" i="7"/>
  <c r="M207" i="7"/>
  <c r="L207" i="7"/>
  <c r="N109" i="7"/>
  <c r="L196" i="7"/>
  <c r="C95" i="7"/>
  <c r="O109" i="7"/>
  <c r="O195" i="7"/>
  <c r="K80" i="12"/>
  <c r="K82" i="12"/>
  <c r="C154" i="7"/>
  <c r="K50" i="11"/>
  <c r="H50" i="11"/>
  <c r="O194" i="7"/>
  <c r="O196" i="7"/>
  <c r="O200" i="7"/>
  <c r="O204" i="7"/>
  <c r="J50" i="11"/>
  <c r="L200" i="7"/>
  <c r="N195" i="7"/>
  <c r="C109" i="7"/>
  <c r="L80" i="12"/>
  <c r="L82" i="12"/>
  <c r="G50" i="11"/>
  <c r="G65" i="12"/>
  <c r="G67" i="12"/>
  <c r="I65" i="12"/>
  <c r="I67" i="12"/>
  <c r="L50" i="11"/>
  <c r="E89" i="12"/>
  <c r="C75" i="6"/>
  <c r="N207" i="7"/>
  <c r="O207" i="7"/>
  <c r="L204" i="7"/>
  <c r="N196" i="7"/>
  <c r="C195" i="7"/>
  <c r="J65" i="12"/>
  <c r="J67" i="12"/>
  <c r="M50" i="11"/>
  <c r="D89" i="12"/>
  <c r="O80" i="12"/>
  <c r="O82" i="12"/>
  <c r="C78" i="6"/>
  <c r="C55" i="10"/>
  <c r="C207" i="7"/>
  <c r="C37" i="10"/>
  <c r="C57" i="10"/>
  <c r="N200" i="7"/>
  <c r="N204" i="7"/>
  <c r="C204" i="7"/>
  <c r="C196" i="7"/>
  <c r="N80" i="12"/>
  <c r="N82" i="12"/>
  <c r="M80" i="12"/>
  <c r="M82" i="12"/>
  <c r="G89" i="12"/>
  <c r="C45" i="10"/>
  <c r="O50" i="11"/>
  <c r="C170" i="7"/>
  <c r="C200" i="7"/>
  <c r="C101" i="7"/>
  <c r="C82" i="12"/>
  <c r="F89" i="12"/>
  <c r="E51" i="11"/>
  <c r="C173" i="7"/>
  <c r="C174" i="7"/>
  <c r="L65" i="12"/>
  <c r="L67" i="12"/>
  <c r="K65" i="12"/>
  <c r="K67" i="12"/>
  <c r="D51" i="11"/>
  <c r="I89" i="12"/>
  <c r="C26" i="11"/>
  <c r="N50" i="11"/>
  <c r="C59" i="10"/>
  <c r="C40" i="10"/>
  <c r="H89" i="12"/>
  <c r="G51" i="11"/>
  <c r="F51" i="11"/>
  <c r="K89" i="12"/>
  <c r="M65" i="12"/>
  <c r="M67" i="12"/>
  <c r="J89" i="12"/>
  <c r="N65" i="12"/>
  <c r="N67" i="12"/>
  <c r="I51" i="11"/>
  <c r="L89" i="12"/>
  <c r="H51" i="11"/>
  <c r="K51" i="11"/>
  <c r="M89" i="12"/>
  <c r="N89" i="12"/>
  <c r="C60" i="10"/>
  <c r="O65" i="12"/>
  <c r="O67" i="12"/>
  <c r="C61" i="10"/>
  <c r="C65" i="12"/>
  <c r="L51" i="11"/>
  <c r="J51" i="11"/>
  <c r="O66" i="10"/>
  <c r="C65" i="10"/>
  <c r="C67" i="12"/>
  <c r="M51" i="11"/>
  <c r="O89" i="12"/>
  <c r="C69" i="10"/>
  <c r="N51" i="11"/>
  <c r="C72" i="10"/>
  <c r="C89" i="12"/>
  <c r="C74" i="10"/>
  <c r="O51" i="11"/>
  <c r="C27" i="11"/>
  <c r="E30" i="12"/>
  <c r="G30" i="12"/>
  <c r="F30" i="12"/>
  <c r="E52" i="11"/>
  <c r="E53" i="11"/>
  <c r="E44" i="11"/>
  <c r="D30" i="12"/>
  <c r="H30" i="12"/>
  <c r="G44" i="11"/>
  <c r="G53" i="11"/>
  <c r="G52" i="11"/>
  <c r="D44" i="11"/>
  <c r="D53" i="11"/>
  <c r="D52" i="11"/>
  <c r="F52" i="11"/>
  <c r="F44" i="11"/>
  <c r="F53" i="11"/>
  <c r="I30" i="12"/>
  <c r="H53" i="11"/>
  <c r="H52" i="11"/>
  <c r="H44" i="11"/>
  <c r="D45" i="11"/>
  <c r="E45" i="11"/>
  <c r="F45" i="11"/>
  <c r="G45" i="11"/>
  <c r="J30" i="12"/>
  <c r="H45" i="11"/>
  <c r="I53" i="11"/>
  <c r="I52" i="11"/>
  <c r="I44" i="11"/>
  <c r="K30" i="12"/>
  <c r="I45" i="11"/>
  <c r="J53" i="11"/>
  <c r="J52" i="11"/>
  <c r="J44" i="11"/>
  <c r="L30" i="12"/>
  <c r="J45" i="11"/>
  <c r="K52" i="11"/>
  <c r="K44" i="11"/>
  <c r="K53" i="11"/>
  <c r="M30" i="12"/>
  <c r="K45" i="11"/>
  <c r="D74" i="12"/>
  <c r="L44" i="11"/>
  <c r="L53" i="11"/>
  <c r="L52" i="11"/>
  <c r="N30" i="12"/>
  <c r="C94" i="6"/>
  <c r="C91" i="6"/>
  <c r="C92" i="6"/>
  <c r="L45" i="11"/>
  <c r="D78" i="12"/>
  <c r="M52" i="11"/>
  <c r="M44" i="11"/>
  <c r="M53" i="11"/>
  <c r="M45" i="11"/>
  <c r="C24" i="11"/>
  <c r="C95" i="6"/>
  <c r="N44" i="11"/>
  <c r="N52" i="11"/>
  <c r="N53" i="11"/>
  <c r="D84" i="12"/>
  <c r="C27" i="12"/>
  <c r="O30" i="12"/>
  <c r="N45" i="11"/>
  <c r="E74" i="12"/>
  <c r="E78" i="12"/>
  <c r="E84" i="12"/>
  <c r="E86" i="12"/>
  <c r="E90" i="12"/>
  <c r="C32" i="11"/>
  <c r="D86" i="12"/>
  <c r="D90" i="12"/>
  <c r="O44" i="11"/>
  <c r="O53" i="11"/>
  <c r="O52" i="11"/>
  <c r="C30" i="12"/>
  <c r="O45" i="11"/>
  <c r="C46" i="11"/>
  <c r="C44" i="11"/>
  <c r="C34" i="12"/>
  <c r="F75" i="12"/>
  <c r="G72" i="12"/>
  <c r="C36" i="12"/>
  <c r="C55" i="12"/>
  <c r="F86" i="12"/>
  <c r="F90" i="12"/>
  <c r="G69" i="12"/>
  <c r="G70" i="12"/>
  <c r="G73" i="12"/>
  <c r="G75" i="12"/>
  <c r="H72" i="12"/>
  <c r="G74" i="12"/>
  <c r="G78" i="12"/>
  <c r="G84" i="12"/>
  <c r="G86" i="12"/>
  <c r="G90" i="12"/>
  <c r="H69" i="12"/>
  <c r="H70" i="12"/>
  <c r="H73" i="12"/>
  <c r="H74" i="12"/>
  <c r="H75" i="12"/>
  <c r="I72" i="12"/>
  <c r="H78" i="12"/>
  <c r="H84" i="12"/>
  <c r="H86" i="12"/>
  <c r="H90" i="12"/>
  <c r="I69" i="12"/>
  <c r="I70" i="12"/>
  <c r="I73" i="12"/>
  <c r="I75" i="12"/>
  <c r="J72" i="12"/>
  <c r="I74" i="12"/>
  <c r="I78" i="12"/>
  <c r="I84" i="12"/>
  <c r="I86" i="12"/>
  <c r="I90" i="12"/>
  <c r="J69" i="12"/>
  <c r="J70" i="12"/>
  <c r="J73" i="12"/>
  <c r="K42" i="12"/>
  <c r="J75" i="12"/>
  <c r="K72" i="12"/>
  <c r="J74" i="12"/>
  <c r="J78" i="12"/>
  <c r="J84" i="12"/>
  <c r="J86" i="12"/>
  <c r="J90" i="12"/>
  <c r="K69" i="12"/>
  <c r="K70" i="12"/>
  <c r="K73" i="12"/>
  <c r="K75" i="12"/>
  <c r="L72" i="12"/>
  <c r="K74" i="12"/>
  <c r="K78" i="12"/>
  <c r="K84" i="12"/>
  <c r="K86" i="12"/>
  <c r="K90" i="12"/>
  <c r="L69" i="12"/>
  <c r="L70" i="12"/>
  <c r="L73" i="12"/>
  <c r="M42" i="12"/>
  <c r="L75" i="12"/>
  <c r="M72" i="12"/>
  <c r="L74" i="12"/>
  <c r="L78" i="12"/>
  <c r="L84" i="12"/>
  <c r="L86" i="12"/>
  <c r="L90" i="12"/>
  <c r="N42" i="12"/>
  <c r="M69" i="12"/>
  <c r="M70" i="12"/>
  <c r="M73" i="12"/>
  <c r="M74" i="12"/>
  <c r="M78" i="12"/>
  <c r="M75" i="12"/>
  <c r="N72" i="12"/>
  <c r="M84" i="12"/>
  <c r="M86" i="12"/>
  <c r="M90" i="12"/>
  <c r="O42" i="12"/>
  <c r="N69" i="12"/>
  <c r="N70" i="12"/>
  <c r="N73" i="12"/>
  <c r="N75" i="12"/>
  <c r="O72" i="12"/>
  <c r="C45" i="12"/>
  <c r="C58" i="12"/>
  <c r="C44" i="12"/>
  <c r="C51" i="12"/>
  <c r="N74" i="12"/>
  <c r="N78" i="12"/>
  <c r="N84" i="12"/>
  <c r="N86" i="12"/>
  <c r="N90" i="12"/>
  <c r="C56" i="12"/>
  <c r="O69" i="12"/>
  <c r="O70" i="12"/>
  <c r="C70" i="12"/>
  <c r="C69" i="12"/>
  <c r="C59" i="12"/>
  <c r="O73" i="12"/>
  <c r="O75" i="12"/>
  <c r="O74" i="12"/>
  <c r="O78" i="12"/>
  <c r="C74" i="12"/>
  <c r="C78" i="12"/>
  <c r="O84" i="12"/>
  <c r="O86" i="12"/>
  <c r="C86" i="12"/>
  <c r="O90" i="12"/>
  <c r="C90" i="12"/>
  <c r="C84" i="12"/>
  <c r="C28" i="16"/>
  <c r="C30" i="16"/>
  <c r="C109" i="16"/>
  <c r="C112" i="16"/>
</calcChain>
</file>

<file path=xl/sharedStrings.xml><?xml version="1.0" encoding="utf-8"?>
<sst xmlns="http://schemas.openxmlformats.org/spreadsheetml/2006/main" count="650" uniqueCount="425">
  <si>
    <t>Contact</t>
  </si>
  <si>
    <t>Purpose</t>
  </si>
  <si>
    <t>recovery</t>
  </si>
  <si>
    <t>units</t>
  </si>
  <si>
    <t>Total</t>
  </si>
  <si>
    <t>Explaining the Protocols - Ignore this</t>
  </si>
  <si>
    <t>This section is used to explain the spreadsheet formatting on the Introduction worksheet.</t>
  </si>
  <si>
    <t>Cashstream 3: Operating Costs</t>
  </si>
  <si>
    <t>Cashstream 4: Taxes</t>
  </si>
  <si>
    <t>% of assessable income</t>
  </si>
  <si>
    <t>Data for Graphs</t>
  </si>
  <si>
    <t xml:space="preserve">Self audit </t>
  </si>
  <si>
    <t>% silver</t>
  </si>
  <si>
    <t>Years --&gt;</t>
  </si>
  <si>
    <t>days</t>
  </si>
  <si>
    <t>Cashstream 1: Sales &amp; Revenue</t>
  </si>
  <si>
    <t>From the 'Sales&amp;Revenue' worksheet</t>
  </si>
  <si>
    <t>US$ 000  Real</t>
  </si>
  <si>
    <t>US$ 000 Real</t>
  </si>
  <si>
    <t>US$ Real/unit</t>
  </si>
  <si>
    <t>Total Revenue</t>
  </si>
  <si>
    <t>CHECK: Debtors sum to zero</t>
  </si>
  <si>
    <t>Total debtors - at end of year</t>
  </si>
  <si>
    <t>CHECK: Cashstream 1 = Revenue</t>
  </si>
  <si>
    <t>Total creditors - at end of year</t>
  </si>
  <si>
    <t>CHECK: creditors sum to zero</t>
  </si>
  <si>
    <t>% added</t>
  </si>
  <si>
    <t>%</t>
  </si>
  <si>
    <t>Assessable income</t>
  </si>
  <si>
    <t>Assessable income after any carried losses</t>
  </si>
  <si>
    <t>Company minimum tax</t>
  </si>
  <si>
    <t>% of turnover</t>
  </si>
  <si>
    <t>Cashstream 2: Capital Costs (for plant and equipment)</t>
  </si>
  <si>
    <r>
      <t>2a.  Capital Purchases</t>
    </r>
    <r>
      <rPr>
        <sz val="16"/>
        <color rgb="FFFF0000"/>
        <rFont val="Calibri"/>
        <family val="2"/>
        <scheme val="minor"/>
      </rPr>
      <t xml:space="preserve"> (for plant and equipment)</t>
    </r>
  </si>
  <si>
    <t>1.  Sales &amp; Revenue</t>
  </si>
  <si>
    <t>2. Capital Costs  &amp;   3. Operating Costs</t>
  </si>
  <si>
    <t>4. Taxes</t>
  </si>
  <si>
    <t xml:space="preserve">Discount factor </t>
  </si>
  <si>
    <t>% from Day 1.</t>
  </si>
  <si>
    <t>Net Present Value</t>
  </si>
  <si>
    <t>Pattern of overall sales</t>
  </si>
  <si>
    <t>Other fixed</t>
  </si>
  <si>
    <t>other fixed #1</t>
  </si>
  <si>
    <t>other fixed #2</t>
  </si>
  <si>
    <t>other fixed #3</t>
  </si>
  <si>
    <t>% fixed/ total costs</t>
  </si>
  <si>
    <t>US$ 000  Real (incl VAT)</t>
  </si>
  <si>
    <t xml:space="preserve"> </t>
  </si>
  <si>
    <t>Important!!!</t>
  </si>
  <si>
    <t>VAT as a percentage of final price</t>
  </si>
  <si>
    <t>Withholding Tax on Rental paid to residents</t>
  </si>
  <si>
    <t>Assessable income (if positive)</t>
  </si>
  <si>
    <t>US$ 000</t>
  </si>
  <si>
    <t xml:space="preserve">Inflation - US$ </t>
  </si>
  <si>
    <t>Inflator - US$</t>
  </si>
  <si>
    <t>Discount Rate</t>
  </si>
  <si>
    <t>Cumulative discounted cash flow</t>
  </si>
  <si>
    <t>US$ 000  Nominal</t>
  </si>
  <si>
    <t>US$ 000 Nominal</t>
  </si>
  <si>
    <t>Interest rate on loans</t>
  </si>
  <si>
    <t xml:space="preserve">Interest - paid </t>
  </si>
  <si>
    <t>opening balance of equity funds invested</t>
  </si>
  <si>
    <t>funds available for drawdown</t>
  </si>
  <si>
    <t>closing balance of equity funds invested</t>
  </si>
  <si>
    <t>max proportion of cash deficit that can be debt funded</t>
  </si>
  <si>
    <t>Assessable income - before interest</t>
  </si>
  <si>
    <t>deduct: -</t>
  </si>
  <si>
    <t>Assessable income - after interest</t>
  </si>
  <si>
    <t>Income Statement</t>
  </si>
  <si>
    <t xml:space="preserve">Cash injections needed </t>
  </si>
  <si>
    <t>equity funds - new investment</t>
  </si>
  <si>
    <t>Revenue</t>
  </si>
  <si>
    <t>Cost of sales</t>
  </si>
  <si>
    <t>Opening stock</t>
  </si>
  <si>
    <t>Expenses</t>
  </si>
  <si>
    <t>Balance Sheet</t>
  </si>
  <si>
    <t>Working area</t>
  </si>
  <si>
    <t>Total ABC units sold</t>
  </si>
  <si>
    <t>Product A Sold</t>
  </si>
  <si>
    <t>Product A revenue</t>
  </si>
  <si>
    <t>Product B sold</t>
  </si>
  <si>
    <t>Product B revenue</t>
  </si>
  <si>
    <t>Product C sold</t>
  </si>
  <si>
    <t>Product C revenue</t>
  </si>
  <si>
    <t>Growth pattern of sales</t>
  </si>
  <si>
    <t>Units Sold</t>
  </si>
  <si>
    <t>Annual sales as a proportion of maximum sales</t>
  </si>
  <si>
    <t>Price decreases in real terms</t>
  </si>
  <si>
    <t>Product A - pricing decrease</t>
  </si>
  <si>
    <t>Product B - pricing decrease</t>
  </si>
  <si>
    <t>Product C - pricing decrease</t>
  </si>
  <si>
    <t>in real terms</t>
  </si>
  <si>
    <t>Cash grants from results based financing</t>
  </si>
  <si>
    <t>US$ /unit Real</t>
  </si>
  <si>
    <t>US$ / unit</t>
  </si>
  <si>
    <t>Rate of commission</t>
  </si>
  <si>
    <t>6. Total Revenue</t>
  </si>
  <si>
    <t>5. Commissions from international sales of ABC's</t>
  </si>
  <si>
    <t>days from sale to cash received</t>
  </si>
  <si>
    <t>Debtors at end of year - grants and commissions</t>
  </si>
  <si>
    <t>From the 'Sales&amp;Revenue' worksheet …</t>
  </si>
  <si>
    <t xml:space="preserve"> IT Hardware</t>
  </si>
  <si>
    <t>office equipment</t>
  </si>
  <si>
    <t>communications equipment</t>
  </si>
  <si>
    <t>research &amp; development equipment</t>
  </si>
  <si>
    <t>Tax deductions  ('tax depreciation')</t>
  </si>
  <si>
    <t>* Building and structures 5% Straight line</t>
  </si>
  <si>
    <t>* All other tangible property 20% Declining balance</t>
  </si>
  <si>
    <t>working stocks of ABC's ex-factory to installed on farms</t>
  </si>
  <si>
    <t>purchases from factory - Product A</t>
  </si>
  <si>
    <t>purchases from factory - Product B</t>
  </si>
  <si>
    <t>purchases from factory - Product C</t>
  </si>
  <si>
    <t>total purchases from factory of ABC's</t>
  </si>
  <si>
    <t>increase/(decrease) in working stocks - Product A</t>
  </si>
  <si>
    <t>increase/(decrease) in working stocks - Product B</t>
  </si>
  <si>
    <t>Product A - purchase cost  decrease</t>
  </si>
  <si>
    <t xml:space="preserve">Product A' - purchase cost </t>
  </si>
  <si>
    <t xml:space="preserve">Product B' - purchase cost </t>
  </si>
  <si>
    <t xml:space="preserve">Product C' - purchase cost </t>
  </si>
  <si>
    <t>freight and handling from factory</t>
  </si>
  <si>
    <t>freight and handling to customers from ABC depot</t>
  </si>
  <si>
    <t>Customer</t>
  </si>
  <si>
    <t>Development and Technical</t>
  </si>
  <si>
    <t>*  GM</t>
  </si>
  <si>
    <t xml:space="preserve">*  Regional Sales Manager #1 </t>
  </si>
  <si>
    <t>*  Regional Sales Manager #2</t>
  </si>
  <si>
    <t>*  Regional Sales Manager #3</t>
  </si>
  <si>
    <t>*  Production/Distribution Manager</t>
  </si>
  <si>
    <t>*  Logistics and Warehouse Coordinator</t>
  </si>
  <si>
    <t>*  other</t>
  </si>
  <si>
    <t>*  Development Leader</t>
  </si>
  <si>
    <t>* Development specialist</t>
  </si>
  <si>
    <t>General &amp; Admin</t>
  </si>
  <si>
    <t>*  Customer contact</t>
  </si>
  <si>
    <t>*  Accountant</t>
  </si>
  <si>
    <t>*  Office assistant</t>
  </si>
  <si>
    <t>depot: warehouse &amp; office</t>
  </si>
  <si>
    <t>rent</t>
  </si>
  <si>
    <t>Utilities - electricity, gas, water</t>
  </si>
  <si>
    <t xml:space="preserve">office </t>
  </si>
  <si>
    <t xml:space="preserve">Internet provider and phones </t>
  </si>
  <si>
    <t>insurance &amp; legal</t>
  </si>
  <si>
    <t>professional services</t>
  </si>
  <si>
    <t>audit costs &amp; consultants</t>
  </si>
  <si>
    <t>travel</t>
  </si>
  <si>
    <t>hosting events</t>
  </si>
  <si>
    <t>activities</t>
  </si>
  <si>
    <t>vehicles</t>
  </si>
  <si>
    <t>cost of Product A</t>
  </si>
  <si>
    <t>US$ 000 Real/ unit</t>
  </si>
  <si>
    <t>selling margin on Product A</t>
  </si>
  <si>
    <t>Selling margin on Product A</t>
  </si>
  <si>
    <t>Selling margin on Product B</t>
  </si>
  <si>
    <t>Product A' - selling price</t>
  </si>
  <si>
    <t>Product B' - selling price</t>
  </si>
  <si>
    <t>Product C' - selling price</t>
  </si>
  <si>
    <t>cost of Product B</t>
  </si>
  <si>
    <t>selling margin on Product B</t>
  </si>
  <si>
    <t>Selling margin on Product C</t>
  </si>
  <si>
    <t>cost of Product C</t>
  </si>
  <si>
    <t>selling margin on Product C</t>
  </si>
  <si>
    <t>Gross selling margin on Products ABC</t>
  </si>
  <si>
    <t>Net  margin after fixed costs</t>
  </si>
  <si>
    <t>Net  margin after fixed costs &amp; capex</t>
  </si>
  <si>
    <t>Proportion of fixed costs</t>
  </si>
  <si>
    <t>days from invoice to paying cash</t>
  </si>
  <si>
    <t>3b.  Variable Costs</t>
  </si>
  <si>
    <t>3b i.  Variable Costs - Purchase Cost of ABC units ex-factory</t>
  </si>
  <si>
    <t>3b iii. Variable Costs - Freighting ABC units to customers</t>
  </si>
  <si>
    <t xml:space="preserve">3c.  Fixed Costs </t>
  </si>
  <si>
    <t>3c i. Fixed Costs - People</t>
  </si>
  <si>
    <t>3b iii. Freight &amp; Handling of ABC units to customers from ABC Depot</t>
  </si>
  <si>
    <t>Net selling margin on Products ABC after capex</t>
  </si>
  <si>
    <t>Net selling margin on Products ABC after fixed costs</t>
  </si>
  <si>
    <t>Sales of ABC units</t>
  </si>
  <si>
    <t>Working Stocks of ABC units</t>
  </si>
  <si>
    <t>Purchases of ABC units</t>
  </si>
  <si>
    <t>4a.  Withholding Tax ("WHT")</t>
  </si>
  <si>
    <t>4b.  VAT</t>
  </si>
  <si>
    <t>VAT on ABC units sold</t>
  </si>
  <si>
    <t>VAT Rate</t>
  </si>
  <si>
    <t>VAT paid on Revenues</t>
  </si>
  <si>
    <t>3.  Revenue from ABC units</t>
  </si>
  <si>
    <t>2.  Selling Prices of ABC units</t>
  </si>
  <si>
    <t xml:space="preserve">4. Cash Grants from Results Based Financing </t>
  </si>
  <si>
    <t>Sales outside country</t>
  </si>
  <si>
    <t>commission per ABC sold outside country</t>
  </si>
  <si>
    <t>VAT credits received on inputs</t>
  </si>
  <si>
    <t>4c.  Minimum Tax</t>
  </si>
  <si>
    <t>Discount rate for Project ABC</t>
  </si>
  <si>
    <t>A.  Sales of ABC's</t>
  </si>
  <si>
    <t>C. Internal Rate of Return</t>
  </si>
  <si>
    <t>% annual increase</t>
  </si>
  <si>
    <t>Product A - growth rate of sales</t>
  </si>
  <si>
    <t>Product B - growth rate of sales</t>
  </si>
  <si>
    <t>Product C - growth rate of sales</t>
  </si>
  <si>
    <t>1. Sales of A, B &amp; C units</t>
  </si>
  <si>
    <t>This worked example may contain errors so it is essential to have a competent person audit your business case before making any decisions!!!</t>
  </si>
  <si>
    <t>external competent person</t>
  </si>
  <si>
    <t>Yet to be completed</t>
  </si>
  <si>
    <t>3b ii.  Variable Costs - Freighting ABC units from factory to ABC Depot</t>
  </si>
  <si>
    <r>
      <t xml:space="preserve">Project Funding </t>
    </r>
    <r>
      <rPr>
        <i/>
        <sz val="18"/>
        <color rgb="FFFF0000"/>
        <rFont val="Calibri"/>
        <family val="2"/>
        <scheme val="minor"/>
      </rPr>
      <t>(Financing)</t>
    </r>
  </si>
  <si>
    <t>Donation possible</t>
  </si>
  <si>
    <t>Working Capital - level needed</t>
  </si>
  <si>
    <t>4. Project Working Capital</t>
  </si>
  <si>
    <r>
      <t xml:space="preserve">US$ </t>
    </r>
    <r>
      <rPr>
        <b/>
        <sz val="10"/>
        <color theme="1"/>
        <rFont val="Calibri"/>
        <family val="2"/>
        <scheme val="minor"/>
      </rPr>
      <t>Real</t>
    </r>
    <r>
      <rPr>
        <sz val="10"/>
        <color theme="1"/>
        <rFont val="Calibri"/>
        <family val="2"/>
        <scheme val="minor"/>
      </rPr>
      <t xml:space="preserve">/ unit </t>
    </r>
  </si>
  <si>
    <t>Project Working Capital - change</t>
  </si>
  <si>
    <t>Project Working Capital - closing</t>
  </si>
  <si>
    <t>Total (increase)/decrease in creditors at end of year</t>
  </si>
  <si>
    <t>3c.  Total Operating 'Expenses'</t>
  </si>
  <si>
    <t>CHECK: operating costs = operating 'expenses'</t>
  </si>
  <si>
    <t>Company income tax rate</t>
  </si>
  <si>
    <t>3a i.  Cost of purchasing ABC units ex-factory</t>
  </si>
  <si>
    <t>Net Cash Flow before project funding - Nominal</t>
  </si>
  <si>
    <t>Change in income tax/minimum tax from project funding</t>
  </si>
  <si>
    <t>VAT paid - net</t>
  </si>
  <si>
    <t>Decrease in income tax from project funding</t>
  </si>
  <si>
    <t>Income tax after project funding - Nominal</t>
  </si>
  <si>
    <t xml:space="preserve">US$ 000 </t>
  </si>
  <si>
    <t>Real terms</t>
  </si>
  <si>
    <t>Pre-tax profit (loss)</t>
  </si>
  <si>
    <t>Profit/(Loss) after tax</t>
  </si>
  <si>
    <t>Accounting depreciation - notional</t>
  </si>
  <si>
    <t>Loss carried forward - closing balance</t>
  </si>
  <si>
    <t>project loan - closing balance</t>
  </si>
  <si>
    <t>project loan - opening balance</t>
  </si>
  <si>
    <t>max amount of funding deficit that can be debt funded</t>
  </si>
  <si>
    <t>net equity</t>
  </si>
  <si>
    <t>E. Plant and Equipment</t>
  </si>
  <si>
    <t>G. Cashflow</t>
  </si>
  <si>
    <t>F. Income Tax on Accounting Profit</t>
  </si>
  <si>
    <t>Income Tax on accounting profit</t>
  </si>
  <si>
    <t>Plant &amp; Equipment - net book value</t>
  </si>
  <si>
    <t>Plant &amp; Equipment - opening balance</t>
  </si>
  <si>
    <t>Plant &amp; Equipment - closing balance</t>
  </si>
  <si>
    <t>accumulated depreciation</t>
  </si>
  <si>
    <t>Plant &amp; Equipment</t>
  </si>
  <si>
    <t>Total Assets</t>
  </si>
  <si>
    <t>Current Liabilities</t>
  </si>
  <si>
    <t>Current Assets</t>
  </si>
  <si>
    <t>Project loan - current portion</t>
  </si>
  <si>
    <t>Project loan - non-current portion</t>
  </si>
  <si>
    <t>Long Term Liabilities</t>
  </si>
  <si>
    <t>Total  Liabilities</t>
  </si>
  <si>
    <t>Equity</t>
  </si>
  <si>
    <t>Revenue from ABC units</t>
  </si>
  <si>
    <t xml:space="preserve">Cash Grants from Results Based Financing </t>
  </si>
  <si>
    <t>Commissions from international sales of ABC's</t>
  </si>
  <si>
    <t>Debtors - grants and commissions</t>
  </si>
  <si>
    <t>Increase/(decrease) in debtors at end of year</t>
  </si>
  <si>
    <t>capital costs - added</t>
  </si>
  <si>
    <t>undeducted capital costs - opening balance</t>
  </si>
  <si>
    <t>undeducted capital costs - available for tax deductions</t>
  </si>
  <si>
    <t xml:space="preserve">Weighted deduction rate for the pool of capital items </t>
  </si>
  <si>
    <t>% diminishing</t>
  </si>
  <si>
    <t>* Computers, electronic information systems, software and data handling equipment 25% Declining balance</t>
  </si>
  <si>
    <t xml:space="preserve">* Automobiles, trucks, office furniture and equipment 15% Declining balance </t>
  </si>
  <si>
    <t>undeducted capital costs - closing balance</t>
  </si>
  <si>
    <t>Value of tax deductions eroded by inflation</t>
  </si>
  <si>
    <t>working stocks Product A - closing</t>
  </si>
  <si>
    <t>working stocks Product B - closing</t>
  </si>
  <si>
    <t>working stocks Product C - closing</t>
  </si>
  <si>
    <t>Opening balance - assessable income losses</t>
  </si>
  <si>
    <t>Closing balance - assessable income losses to be carried forward</t>
  </si>
  <si>
    <t>Audits of this business model</t>
  </si>
  <si>
    <t>From the four worksheets: -</t>
  </si>
  <si>
    <r>
      <t>Internal Rate of Return</t>
    </r>
    <r>
      <rPr>
        <sz val="14"/>
        <color theme="1"/>
        <rFont val="Calibri"/>
        <family val="2"/>
        <scheme val="minor"/>
      </rPr>
      <t xml:space="preserve"> (Real)</t>
    </r>
  </si>
  <si>
    <t>NPV is in today's US$ terms so is both 'nominal' and 'real'</t>
  </si>
  <si>
    <t>Loan funds available for drawdown - maximum</t>
  </si>
  <si>
    <t>loan - drawdowns</t>
  </si>
  <si>
    <t>Referenced from the "Taxes" worksheet: -</t>
  </si>
  <si>
    <t>Pre-tax Profit as % of revenue</t>
  </si>
  <si>
    <t>Inflators from Real to Nominal terms</t>
  </si>
  <si>
    <t>Nominal currency units</t>
  </si>
  <si>
    <t>Inflation - In country</t>
  </si>
  <si>
    <t>Inflator - In country</t>
  </si>
  <si>
    <t>Computing the erosion of tax deductions by local inflation</t>
  </si>
  <si>
    <t>A. Revenue</t>
  </si>
  <si>
    <t>B. Purchases of ABC's</t>
  </si>
  <si>
    <t>Cost of purchasing ABC units ex-factory</t>
  </si>
  <si>
    <t xml:space="preserve">C. Stock on hand </t>
  </si>
  <si>
    <t>D. Expenses</t>
  </si>
  <si>
    <t>Expenses (incl WHT)</t>
  </si>
  <si>
    <t>Depreciation</t>
  </si>
  <si>
    <t>Profit after carried forward losses</t>
  </si>
  <si>
    <t>accumulated depreciation before erosion by local inflation</t>
  </si>
  <si>
    <t>Inflation - local - US</t>
  </si>
  <si>
    <t>Inflator - erosion of value by local inflation over US inflation</t>
  </si>
  <si>
    <t>Accounting depreciation (after erosion by local inflation above US inflation)</t>
  </si>
  <si>
    <t>Cumulative net cashflow</t>
  </si>
  <si>
    <t>Working stocks of ABC's - closing</t>
  </si>
  <si>
    <r>
      <t xml:space="preserve">Plant &amp; Equipment </t>
    </r>
    <r>
      <rPr>
        <i/>
        <sz val="10"/>
        <color theme="1"/>
        <rFont val="Calibri"/>
        <family val="2"/>
        <scheme val="minor"/>
      </rPr>
      <t>- net book value</t>
    </r>
  </si>
  <si>
    <t>Cash (Cumulative net cashflow)</t>
  </si>
  <si>
    <t>H. Debtors &amp; Creditors</t>
  </si>
  <si>
    <t>I.   Debt</t>
  </si>
  <si>
    <t>J. Equity</t>
  </si>
  <si>
    <r>
      <t xml:space="preserve">4b.  VAT </t>
    </r>
    <r>
      <rPr>
        <sz val="12"/>
        <color theme="1"/>
        <rFont val="Calibri"/>
        <family val="2"/>
        <scheme val="minor"/>
      </rPr>
      <t>- net paid/(net refunded)</t>
    </r>
  </si>
  <si>
    <t>Sales of units outside the country as a percentage of sales inside the country</t>
  </si>
  <si>
    <t>Debtors - sales inside the country</t>
  </si>
  <si>
    <t>2018 07 20 F Widdhi: email that buyers inside the country will average 14 days to pay cash.</t>
  </si>
  <si>
    <t>Debtors at end of year - in-country sales</t>
  </si>
  <si>
    <t>Sales outside the country</t>
  </si>
  <si>
    <t>It is a more detailed business case through to Cashflows (Real Terms) with Project Funding and Accounting added (Nominal Terms)</t>
  </si>
  <si>
    <t>This business model works in REAL terms (excluding inflation) in the first four work sheets.  Any project funding (financing) is specifically excluded from 'Net Cashflow - before funding'.</t>
  </si>
  <si>
    <t>It then uses NOMINAL terms for project funding and accounting.  These two do not feed back to the worksheets computing Taxes and Net Cashflow.  Trying to enhance NPV and IRR by incorporating tax benefits from project funding might be self-deception.</t>
  </si>
  <si>
    <t>Understanding the colours and layout is easy!</t>
  </si>
  <si>
    <t>1. Blue = Data Inputs: -</t>
  </si>
  <si>
    <t>Blue font means this is new input data.   (Every item of fresh input data is visually and obviously exposed in a cell.  Input data is never covertly entered into an algorithm.)</t>
  </si>
  <si>
    <t>13 Aug 2025  S White,  "Sales Plan  for Copper Operations to 2035"</t>
  </si>
  <si>
    <t>The source of this data - date, person and document - is clearly visible in the row immediately above. Not as a hidden cell note.</t>
  </si>
  <si>
    <t>Pink font means that this input needs checking</t>
  </si>
  <si>
    <t>2. Green = Data from other worksheets</t>
  </si>
  <si>
    <t>Green font means this row of items is referenced across from another Worksheet in this Workbook</t>
  </si>
  <si>
    <t>To reduce errors and to speed up worksheet construction, the entire Row is referenced across.  Not just the one cell needed.</t>
  </si>
  <si>
    <t>This will ensure that if a referenced cell is in Column F in the source Worksheet then it appears in the same Column (F) in this Worksheet.  (Important discipline for checking/auditing)</t>
  </si>
  <si>
    <t>Importantly, it means that if 2028 is in column F in one worksheet then it is in column F in every other worksheet  (Reduces errors)</t>
  </si>
  <si>
    <t>3. Black = Algorithms</t>
  </si>
  <si>
    <t xml:space="preserve">&lt;-- Black font means this is an algorithm.  </t>
  </si>
  <si>
    <t>4. Italics = nominal dollars</t>
  </si>
  <si>
    <t>This website uses italics for nominal terms data and vertical font for real terms data</t>
  </si>
  <si>
    <t>Worksheet Architecture</t>
  </si>
  <si>
    <r>
      <rPr>
        <b/>
        <sz val="10"/>
        <color theme="1"/>
        <rFont val="Calibri"/>
        <family val="2"/>
        <scheme val="minor"/>
      </rPr>
      <t>Cloumn A</t>
    </r>
    <r>
      <rPr>
        <sz val="10"/>
        <color theme="1"/>
        <rFont val="Calibri"/>
        <family val="2"/>
        <scheme val="minor"/>
      </rPr>
      <t xml:space="preserve"> is used for descriptors.  It is not left blank as an indent</t>
    </r>
  </si>
  <si>
    <r>
      <rPr>
        <b/>
        <sz val="10"/>
        <color theme="1"/>
        <rFont val="Calibri"/>
        <family val="2"/>
        <scheme val="minor"/>
      </rPr>
      <t>Column B</t>
    </r>
    <r>
      <rPr>
        <sz val="10"/>
        <color theme="1"/>
        <rFont val="Calibri"/>
        <family val="2"/>
        <scheme val="minor"/>
      </rPr>
      <t xml:space="preserve"> is used for units - which are in full words and not abbreviations "millions dry tonnes" not "Mdt"</t>
    </r>
  </si>
  <si>
    <r>
      <rPr>
        <b/>
        <sz val="10"/>
        <color theme="1"/>
        <rFont val="Calibri"/>
        <family val="2"/>
        <scheme val="minor"/>
      </rPr>
      <t>Column C</t>
    </r>
    <r>
      <rPr>
        <sz val="10"/>
        <color theme="1"/>
        <rFont val="Calibri"/>
        <family val="2"/>
        <scheme val="minor"/>
      </rPr>
      <t xml:space="preserve"> is for totals (and averages).  These must be completed as checks on input data and results</t>
    </r>
  </si>
  <si>
    <r>
      <rPr>
        <b/>
        <sz val="10"/>
        <color theme="1"/>
        <rFont val="Calibri"/>
        <family val="2"/>
        <scheme val="minor"/>
      </rPr>
      <t>Column D</t>
    </r>
    <r>
      <rPr>
        <sz val="10"/>
        <color theme="1"/>
        <rFont val="Calibri"/>
        <family val="2"/>
        <scheme val="minor"/>
      </rPr>
      <t xml:space="preserve"> is where the years, quarters, months begin --------&gt;</t>
    </r>
  </si>
  <si>
    <r>
      <t xml:space="preserve">Model creator: Peter Card in Melbourne, at </t>
    </r>
    <r>
      <rPr>
        <u/>
        <sz val="10"/>
        <color rgb="FF0070C0"/>
        <rFont val="Calibri"/>
        <family val="2"/>
        <scheme val="minor"/>
      </rPr>
      <t>peterbowdencard12@gmail.com</t>
    </r>
  </si>
  <si>
    <r>
      <t xml:space="preserve">Every business model must be kept easy for </t>
    </r>
    <r>
      <rPr>
        <b/>
        <u/>
        <sz val="10"/>
        <rFont val="Calibri"/>
        <family val="2"/>
      </rPr>
      <t>others</t>
    </r>
    <r>
      <rPr>
        <b/>
        <sz val="10"/>
        <rFont val="Calibri"/>
        <family val="2"/>
      </rPr>
      <t xml:space="preserve"> </t>
    </r>
    <r>
      <rPr>
        <sz val="10"/>
        <rFont val="Calibri"/>
        <family val="2"/>
      </rPr>
      <t xml:space="preserve">to immediately understand: it must be in small steps in an obvious layout with lots of bold headings and the source of every data input being </t>
    </r>
    <r>
      <rPr>
        <u/>
        <sz val="10"/>
        <rFont val="Calibri"/>
        <family val="2"/>
      </rPr>
      <t>visible.</t>
    </r>
  </si>
  <si>
    <t>Peter Card on 01 12 2025</t>
  </si>
  <si>
    <r>
      <t xml:space="preserve">7.  Debtors  </t>
    </r>
    <r>
      <rPr>
        <sz val="10"/>
        <color rgb="FFFF0000"/>
        <rFont val="Calibri"/>
        <family val="2"/>
        <scheme val="minor"/>
      </rPr>
      <t>(Accounts Receivable)</t>
    </r>
  </si>
  <si>
    <t>2025 05 17 Vision Org email: Commited to grant $2 per unit sold under conditions specified in email</t>
  </si>
  <si>
    <t>2025 06 17 G Gohs: Assume sales outside the country will build to 120% of inside.</t>
  </si>
  <si>
    <t>2025 06 17 G Gohs: Assume a commission of US$1.50/unit in Real terms for each unit sold outside the country</t>
  </si>
  <si>
    <t>2025 07 20 F Widdhi: email that buyers inside the country will average 14 days to pay cash.</t>
  </si>
  <si>
    <t>2025 07 20 F Widdhi: email that grants and commissions will be slow to be paid in cash so assume 6 months</t>
  </si>
  <si>
    <r>
      <t>Cashstream 1: Revenue</t>
    </r>
    <r>
      <rPr>
        <sz val="14"/>
        <color theme="1"/>
        <rFont val="Calibri"/>
        <family val="2"/>
        <scheme val="minor"/>
      </rPr>
      <t xml:space="preserve"> </t>
    </r>
    <r>
      <rPr>
        <sz val="10"/>
        <color theme="1"/>
        <rFont val="Calibri"/>
        <family val="2"/>
        <scheme val="minor"/>
      </rPr>
      <t>(incl debtors)</t>
    </r>
  </si>
  <si>
    <t>Purchase prices in real terms incl VAT</t>
  </si>
  <si>
    <t>Cost of purchases of ABC units in real terms incl VAT</t>
  </si>
  <si>
    <r>
      <t xml:space="preserve">2b  Tax deductions for capital purchases </t>
    </r>
    <r>
      <rPr>
        <sz val="12"/>
        <color rgb="FFFF0000"/>
        <rFont val="Calibri"/>
        <family val="2"/>
        <scheme val="minor"/>
      </rPr>
      <t>("tax depreciation")</t>
    </r>
  </si>
  <si>
    <r>
      <t xml:space="preserve">Cashstream 2: Capital Costs </t>
    </r>
    <r>
      <rPr>
        <sz val="10"/>
        <color theme="1"/>
        <rFont val="Calibri"/>
        <family val="2"/>
        <scheme val="minor"/>
      </rPr>
      <t>(for plant and equipment)</t>
    </r>
  </si>
  <si>
    <r>
      <t>3c ii. Fixed Costs - general</t>
    </r>
    <r>
      <rPr>
        <sz val="10"/>
        <color rgb="FFFF0000"/>
        <rFont val="Calibri"/>
        <family val="2"/>
        <scheme val="minor"/>
      </rPr>
      <t xml:space="preserve"> (non-people)</t>
    </r>
  </si>
  <si>
    <r>
      <t xml:space="preserve">5.  Creditors </t>
    </r>
    <r>
      <rPr>
        <sz val="10"/>
        <color rgb="FFFF0000"/>
        <rFont val="Calibri"/>
        <family val="2"/>
        <scheme val="minor"/>
      </rPr>
      <t xml:space="preserve">  (Accounts Payable)</t>
    </r>
  </si>
  <si>
    <t>2025 07 28 website of Khan Accounting - Income Tax: Expenditure on capital expenditure is depreciable according to designated rates as below: -</t>
  </si>
  <si>
    <t>5 Aug 2025 P Carter:  The following computation of tax deductions for capital purchases is performed in Nominal terms to include the erosion of deductions by inflation.  Because tax returns are submitted in local currency, it uses local inflation.</t>
  </si>
  <si>
    <t>6 Aug 2025 P Carter:  Where the capital expenditure is relatively small and/or where the rate of deduction specified by the Tax Office is rapid then this may be done in Real terms.  (Is it unimportant when compared with the project's assumptions of sales, prices and costs?)</t>
  </si>
  <si>
    <t>1 Aug 2025: email from M Ali detailing the working stocks of ABC units</t>
  </si>
  <si>
    <t>5Aug 2025 P Card: Working stocks will be consumed in the final year.</t>
  </si>
  <si>
    <t>1 Aug 2025: email from M Ali detailing the cost of freight and handling from ABC depot to customers.  A generalised estimate is used.</t>
  </si>
  <si>
    <t>1 Aug 2025: email from Lee Chang detailing the likely total cost of the Team</t>
  </si>
  <si>
    <t>1 Aug 2025: email from Lee Chang detailing the likely total cost of the non-people costs of ABC</t>
  </si>
  <si>
    <t>2025 07 02 Ben James email: Talks of "$150k reserve working capital" to allow the project to survive through monthly ups and downsbut this needs checking</t>
  </si>
  <si>
    <t>6Aug 2025 P Carter: telecon - interim estimate of creditors is average 30 days</t>
  </si>
  <si>
    <t>3 Aug 2025 P Carter:  In this evaluation model all capital purchases will be pooled into one category to avoid excessive and unwarranted computations of a relatively minor expenditure.  The impact on NPV of this pooling should be insignificant.  Use 80% @ 25% and 20% @ 15%</t>
  </si>
  <si>
    <t>3a.  Purchases of A, B &amp; C units ex -factory</t>
  </si>
  <si>
    <r>
      <t xml:space="preserve">Purchase price </t>
    </r>
    <r>
      <rPr>
        <b/>
        <u/>
        <sz val="11"/>
        <color rgb="FFFF0000"/>
        <rFont val="Calibri"/>
        <family val="2"/>
        <scheme val="minor"/>
      </rPr>
      <t>decreases</t>
    </r>
    <r>
      <rPr>
        <b/>
        <sz val="11"/>
        <color rgb="FFFF0000"/>
        <rFont val="Calibri"/>
        <family val="2"/>
        <scheme val="minor"/>
      </rPr>
      <t xml:space="preserve"> in real terms</t>
    </r>
  </si>
  <si>
    <t>6.  Cost &amp; Margin Analysis</t>
  </si>
  <si>
    <t xml:space="preserve">6 Aug 2025 P Carter:  The tax returns submitted to the nation's tax office, most likely will be in Nominal local currency - including inflation.  To avoid unwarranted masses of computations, the taxes below are in Real US$ terms - excluding inflation.  </t>
  </si>
  <si>
    <t>6 Aug 2025 P Carter:  Any loss in accuracy can be checked out, but it is likely to be insignificant compared with the uncertainties around forecasts of sales, prices and costs.</t>
  </si>
  <si>
    <t>7 Aug 2025 P Carter:  To compute these taxes with high accuracy: 1) all the input parameters need to be converted from Real US$'s to local currency in Nominal terms - using forecasts of exchange rates and inflation; 2) do computations in nominal local currency; and 3) convert back to US$ Real terms.  The differences in US and local inflation may impact the exchange rate.</t>
  </si>
  <si>
    <t xml:space="preserve">2025 07 12. A Khan Accountants website': Withholding tax of 10% is paid on rent.
</t>
  </si>
  <si>
    <t>2025 07 12 Khan Accounting website: Tax Booklet 5: "Under the VAT system, output tax is collected from a customer by adding VAT to the amount charged. However, a business also pays input tax to its suppliers on purchases that it makes. The business must pay the output tax to the State after deducting the input tax paid to its suppliers. In theory, the business therefore pays tax on the value that it adds in the supply chain. The tax is ultimately borne by the end consumer.</t>
  </si>
  <si>
    <t>2025 07 12 Khan Accounting website: Tax Booklet 5: "IMPORTANTLY An export business that is "zero rated" will get the VAT paid on its inputs refunded - but a business that is "exempt" from VAT is outside the VAT rregime and cannot recover input tax paid.</t>
  </si>
  <si>
    <t>2025 08 13 Khan Accounting telecon: To avoid unwarranted rows of very detailed computations that have a minimal impact on NPV, assume that all inputs are subject to VAT - although some charges may not.</t>
  </si>
  <si>
    <t>2025 07 12. A Khan Accountants website: Tax Booklet 3: "The Minimum Tax is an annual tax at 1% of annual turnover inclusive of all
 taxes except VAT"</t>
  </si>
  <si>
    <t>2025 07 12. A Khan Accountants website: "Minimum tax is separate from income tax and is payable regardless of
whether the taxpayer is in profit or loss."</t>
  </si>
  <si>
    <t xml:space="preserve">2025 07 12. A Khan Accountants website: Tax Booklet 3  Rates of income tax - Standard rate 25% </t>
  </si>
  <si>
    <t xml:space="preserve">2025 07 12. A Khan Accountants website: Tax Booklet 3: taxable income is essentially the difference between total accessible revenue, whether domestic or foreign sourced,and allowable expenses paid or incurred to carry on the business, plus designated passive income such as interest,royalties and rent.
</t>
  </si>
  <si>
    <t>6 Aug 2025 P Carter: The following computation of income tax is in real terms.  Any tiny errors from year to year, caused by not computing in nominal terms should be insignificant, especially when compared with the major assumptions on sales volumes, prices and costs.</t>
  </si>
  <si>
    <t>6 Aug 2025 P Carter: The timing of the 'cost of sales' is not exactly matched to revenue but should be reasonable as the over/under costs in one year should be offset by under/over costs in following years.</t>
  </si>
  <si>
    <r>
      <t xml:space="preserve">4d. Company Income Tax </t>
    </r>
    <r>
      <rPr>
        <sz val="14"/>
        <color rgb="FFFF0000"/>
        <rFont val="Calibri"/>
        <family val="2"/>
        <scheme val="minor"/>
      </rPr>
      <t xml:space="preserve"> (before project funding)</t>
    </r>
  </si>
  <si>
    <r>
      <t xml:space="preserve">4d. Income tax </t>
    </r>
    <r>
      <rPr>
        <sz val="12"/>
        <color theme="1"/>
        <rFont val="Calibri"/>
        <family val="2"/>
        <scheme val="minor"/>
      </rPr>
      <t>(before project funding)</t>
    </r>
  </si>
  <si>
    <r>
      <t>4e  Income Tax or Minimum Tax</t>
    </r>
    <r>
      <rPr>
        <sz val="14"/>
        <color rgb="FFFF0000"/>
        <rFont val="Calibri"/>
        <family val="2"/>
        <scheme val="minor"/>
      </rPr>
      <t xml:space="preserve">  (before project funding)</t>
    </r>
  </si>
  <si>
    <r>
      <t>Cash Generation</t>
    </r>
    <r>
      <rPr>
        <sz val="20"/>
        <color rgb="FFFF0000"/>
        <rFont val="Calibri"/>
        <family val="2"/>
        <scheme val="minor"/>
      </rPr>
      <t xml:space="preserve"> -</t>
    </r>
    <r>
      <rPr>
        <sz val="11"/>
        <color rgb="FFFF0000"/>
        <rFont val="Calibri"/>
        <family val="2"/>
        <scheme val="minor"/>
      </rPr>
      <t xml:space="preserve"> before project funding</t>
    </r>
  </si>
  <si>
    <t>Cumulative Cash Generation  (Real)</t>
  </si>
  <si>
    <t>Discounted cash generation</t>
  </si>
  <si>
    <r>
      <t>Cashstream 3: Operating Costs</t>
    </r>
    <r>
      <rPr>
        <sz val="10"/>
        <color theme="1"/>
        <rFont val="Calibri"/>
        <family val="2"/>
        <scheme val="minor"/>
      </rPr>
      <t xml:space="preserve"> </t>
    </r>
  </si>
  <si>
    <t>Cash Generation - if positive</t>
  </si>
  <si>
    <t>Cash Deficit</t>
  </si>
  <si>
    <r>
      <t>%</t>
    </r>
    <r>
      <rPr>
        <b/>
        <u/>
        <sz val="10"/>
        <color rgb="FF0033CC"/>
        <rFont val="Calibri"/>
        <family val="2"/>
        <scheme val="minor"/>
      </rPr>
      <t xml:space="preserve"> Real</t>
    </r>
  </si>
  <si>
    <r>
      <t>B.  Cash Generation</t>
    </r>
    <r>
      <rPr>
        <sz val="16"/>
        <color rgb="FFFF0000"/>
        <rFont val="Calibri"/>
        <family val="2"/>
        <scheme val="minor"/>
      </rPr>
      <t xml:space="preserve"> (before Project Funding)</t>
    </r>
  </si>
  <si>
    <r>
      <t>Cash Generation</t>
    </r>
    <r>
      <rPr>
        <sz val="14"/>
        <color theme="1"/>
        <rFont val="Calibri"/>
        <family val="2"/>
        <scheme val="minor"/>
      </rPr>
      <t xml:space="preserve">  before funding (Real)</t>
    </r>
  </si>
  <si>
    <t>D. Net Present Value  NPV</t>
  </si>
  <si>
    <t>Add the inflation rate to get the IRR in Nominal Terms</t>
  </si>
  <si>
    <t xml:space="preserve">The net present value {"NPV"} is the amount that a disinterested organisation should be willing to sell or be willing to buy the project today - using all the assumptions in this valuation model.  It is a neutral value.  </t>
  </si>
  <si>
    <t>In broad terms, the net present value {"NPV"} may not increase significantly by introducing debt funding to get a reduction in income tax because of interest payments.  Some suggest that the extra risk with debt will increase the discount rate and largely offset the tax benefit.</t>
  </si>
  <si>
    <t>The net present value {"NPV"} is nothing more than the mathematical treatment of a whole set of expert opinions.  NPV is not an absolute truth.</t>
  </si>
  <si>
    <t>Computing or selecting the discount rate for a social enterprise is very challenging.  The method appears to vary across the various enterprises and so there does not appear to be a consensus.  Even in commercial industry there are various approaches to setting a discount rate - some of which do not follow financial theory.</t>
  </si>
  <si>
    <t>For each project the social enterprise should research discount rates for commercial industries in that country that are similar to the social enterprise's project - to get a starting position.   Then there probably will be debate as to whether social enterprises should be treated very differently to commercial enterprises.</t>
  </si>
  <si>
    <t>2025 08 02 Ben James email:  loan for $250 000 at 8% interest.  The interest computed below is approximate.</t>
  </si>
  <si>
    <t>Interest is part of the financing and so does not get fed back to the 'Cash Generation (before funding)' in the preceding worksheets!</t>
  </si>
  <si>
    <t>Interest is deductible for Income Tax but this does not get fed back to the preceding worksheets!</t>
  </si>
  <si>
    <t>Be Aware: This Funding Statement was developed by a non-accountant so it needs to be checked before being used for decision making.  It is in Nominal Dollars</t>
  </si>
  <si>
    <t>Sales of ABC's</t>
  </si>
  <si>
    <t>1. Converting Cash Flows to Nominal Terms</t>
  </si>
  <si>
    <t>Net Cash Flow before project funding</t>
  </si>
  <si>
    <t>From the 'Cash Generation' worksheet -</t>
  </si>
  <si>
    <t>Converting Net Cash Flow before project funding into Nominal</t>
  </si>
  <si>
    <r>
      <t xml:space="preserve">2. Project Funding </t>
    </r>
    <r>
      <rPr>
        <i/>
        <sz val="18"/>
        <color rgb="FFFF0000"/>
        <rFont val="Calibri"/>
        <family val="2"/>
        <scheme val="minor"/>
      </rPr>
      <t xml:space="preserve"> (Financing)</t>
    </r>
  </si>
  <si>
    <t>2 a. Cash Injections Needed</t>
  </si>
  <si>
    <t>2 b. Donations</t>
  </si>
  <si>
    <t>2025 08 02 'Global Friendship' offers a donation of $100 000 when the annual project net cashflow-after-tax becomes cash positive.</t>
  </si>
  <si>
    <t>2 c. Net Cash Flow after donations</t>
  </si>
  <si>
    <t>2 d. Debt</t>
  </si>
  <si>
    <t>2025 08 02 Ben James email with attachments: Offers a loan of up to $250 000 between 2026 to 2028. It can be a maximum of 50% of the cash deficit from operations after tax.  Repayments are when the project has sufficient excess cash generated.</t>
  </si>
  <si>
    <r>
      <t>loan -</t>
    </r>
    <r>
      <rPr>
        <b/>
        <i/>
        <sz val="14"/>
        <color rgb="FFFF0000"/>
        <rFont val="Calibri"/>
        <family val="2"/>
        <scheme val="minor"/>
      </rPr>
      <t xml:space="preserve"> repayments</t>
    </r>
  </si>
  <si>
    <t>2 e  Interest on loans</t>
  </si>
  <si>
    <t>2 f.  Equity</t>
  </si>
  <si>
    <t>2025 08 06 P Cartier: Assume that equity injections will have to make up any shortfall in funding when the project cashflow is negative and to cover any interest payments</t>
  </si>
  <si>
    <t>3. Recalculation of Income Tax and Minimum Tax- after project funding</t>
  </si>
  <si>
    <r>
      <t xml:space="preserve">3 a. Income Tax </t>
    </r>
    <r>
      <rPr>
        <i/>
        <sz val="11"/>
        <color rgb="FFFF0000"/>
        <rFont val="Calibri"/>
        <family val="2"/>
        <scheme val="minor"/>
      </rPr>
      <t>- after project funding</t>
    </r>
  </si>
  <si>
    <t xml:space="preserve"> 3 b. Minimum Tax</t>
  </si>
  <si>
    <t>Minimum tax - Nominal</t>
  </si>
  <si>
    <r>
      <t>3 c. Income Tax/ Minimum Tax</t>
    </r>
    <r>
      <rPr>
        <b/>
        <i/>
        <sz val="10"/>
        <color rgb="FFFF0000"/>
        <rFont val="Calibri"/>
        <family val="2"/>
        <scheme val="minor"/>
      </rPr>
      <t xml:space="preserve"> </t>
    </r>
    <r>
      <rPr>
        <i/>
        <sz val="10"/>
        <color rgb="FFFF0000"/>
        <rFont val="Calibri"/>
        <family val="2"/>
        <scheme val="minor"/>
      </rPr>
      <t>- after project funding</t>
    </r>
  </si>
  <si>
    <t>There may be little or no change in the tax paid when the interest is deductible because the minimum tax may obliterate its impact.</t>
  </si>
  <si>
    <r>
      <t>Accounting</t>
    </r>
    <r>
      <rPr>
        <i/>
        <sz val="18"/>
        <color rgb="FFFF0000"/>
        <rFont val="Calibri"/>
        <family val="2"/>
        <scheme val="minor"/>
      </rPr>
      <t xml:space="preserve"> </t>
    </r>
    <r>
      <rPr>
        <i/>
        <sz val="12"/>
        <color rgb="FFFF0000"/>
        <rFont val="Calibri"/>
        <family val="2"/>
        <scheme val="minor"/>
      </rPr>
      <t>(in Nominal terms)</t>
    </r>
  </si>
  <si>
    <t>2025 07 27 M Mulli: To compute a notional accounting depreciation over the life of project, allocate capital expenditure in proportion to sales of ABC units.</t>
  </si>
  <si>
    <t>2025 07 14 Leon Chee email: The depreciation will be recorded and computed in local currency.  Its value in nominal US$ terms will be eroded by the amount the local inflation exceeds US inflation.</t>
  </si>
  <si>
    <t>2025 07 31 M Mulli: The accounts use a different depreciation regime to the tax office.  This means that the income tax payable when computed here in the Accounts will be out of sync with the actual ones paid to the tax office.  Over time the two should total approx. the same in Nominal terms.</t>
  </si>
  <si>
    <t>Be Aware: This Income Statement was developed by a non-accountant friend so it needs to be checked before being used for decision making.  It is in Nominal Dollars</t>
  </si>
  <si>
    <t>worked example - Business Model plus funding and accounting 10 years - Base Case</t>
  </si>
  <si>
    <r>
      <t xml:space="preserve">This worked example of a business case is available free to download from Peter's free website </t>
    </r>
    <r>
      <rPr>
        <u/>
        <sz val="10"/>
        <color rgb="FF0070C0"/>
        <rFont val="Calibri"/>
        <family val="2"/>
      </rPr>
      <t>www.economicevaluation.com.au</t>
    </r>
    <r>
      <rPr>
        <sz val="10"/>
        <rFont val="Calibri"/>
        <family val="2"/>
      </rPr>
      <t xml:space="preserve"> </t>
    </r>
  </si>
  <si>
    <t xml:space="preserve">In this business case 'Enterprise ABC' proposes to source and resell three products; 'A', 'B' and 'C'.  </t>
  </si>
  <si>
    <t>3 Aug 2025: Enterprise ABC proposes to source and resell three products 'A', 'B' and 'C'.  Refer:  ABC Marketing Report: page 21</t>
  </si>
  <si>
    <t>1 Aug 2025: Enterprise ABC Marketing Report: page 22 states that prices are expected to decline in Real Terms over the years</t>
  </si>
  <si>
    <t>1 Aug 2025: Enterprise Project ABC: "Estimate of Capital Costs", page 5, rows 34 to 45</t>
  </si>
  <si>
    <t>1 Aug 2025 M Ali: Enterprise ABC report on "Purchasing A,B &amp; C  Units" page 7 details prices in REAL terms with forecast price decreases over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</si>
</sst>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Red]\-#,##0.0"/>
  </numFmts>
  <fonts count="118" x14ac:knownFonts="1">
    <font>
      <sz val="11"/>
      <color theme="1"/>
      <name val="Calibri"/>
      <family val="2"/>
      <scheme val="minor"/>
    </font>
    <font>
      <sz val="12"/>
      <color theme="1"/>
      <name val="Calibri"/>
      <family val="2"/>
      <scheme val="minor"/>
    </font>
    <font>
      <sz val="10"/>
      <color indexed="12"/>
      <name val="Arial"/>
      <family val="2"/>
    </font>
    <font>
      <sz val="11"/>
      <color theme="1"/>
      <name val="Calibri"/>
      <family val="2"/>
      <scheme val="minor"/>
    </font>
    <font>
      <sz val="10"/>
      <color rgb="FF0033CC"/>
      <name val="Arial"/>
      <family val="2"/>
    </font>
    <font>
      <b/>
      <sz val="12"/>
      <color theme="1"/>
      <name val="Calibri"/>
      <family val="2"/>
      <scheme val="minor"/>
    </font>
    <font>
      <b/>
      <sz val="12"/>
      <color rgb="FF000099"/>
      <name val="Calibri"/>
      <family val="2"/>
      <scheme val="minor"/>
    </font>
    <font>
      <b/>
      <sz val="14"/>
      <color theme="1"/>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8"/>
      <color rgb="FFFF0000"/>
      <name val="Calibri"/>
      <family val="2"/>
      <scheme val="minor"/>
    </font>
    <font>
      <sz val="10"/>
      <color theme="1"/>
      <name val="Calibri"/>
      <family val="2"/>
      <scheme val="minor"/>
    </font>
    <font>
      <u/>
      <sz val="11"/>
      <color theme="10"/>
      <name val="Calibri"/>
      <family val="2"/>
      <scheme val="minor"/>
    </font>
    <font>
      <b/>
      <sz val="10"/>
      <color theme="1"/>
      <name val="Calibri"/>
      <family val="2"/>
      <scheme val="minor"/>
    </font>
    <font>
      <sz val="10"/>
      <name val="Arial"/>
      <family val="2"/>
    </font>
    <font>
      <sz val="10"/>
      <name val="Calibri"/>
      <family val="2"/>
      <scheme val="minor"/>
    </font>
    <font>
      <b/>
      <sz val="12"/>
      <color rgb="FFFF0000"/>
      <name val="Calibri"/>
      <family val="2"/>
      <scheme val="minor"/>
    </font>
    <font>
      <b/>
      <sz val="12"/>
      <name val="Calibri"/>
      <family val="2"/>
      <scheme val="minor"/>
    </font>
    <font>
      <sz val="12"/>
      <color rgb="FF0070C0"/>
      <name val="Calibri"/>
      <family val="2"/>
      <scheme val="minor"/>
    </font>
    <font>
      <sz val="12"/>
      <color rgb="FF000099"/>
      <name val="Calibri"/>
      <family val="2"/>
      <scheme val="minor"/>
    </font>
    <font>
      <sz val="18"/>
      <color theme="1"/>
      <name val="Calibri"/>
      <family val="2"/>
      <scheme val="minor"/>
    </font>
    <font>
      <b/>
      <sz val="16"/>
      <color theme="1"/>
      <name val="Calibri"/>
      <family val="2"/>
      <scheme val="minor"/>
    </font>
    <font>
      <sz val="12"/>
      <color rgb="FF189C34"/>
      <name val="Calibri"/>
      <family val="2"/>
      <scheme val="minor"/>
    </font>
    <font>
      <b/>
      <sz val="12"/>
      <color rgb="FF189C34"/>
      <name val="Calibri"/>
      <family val="2"/>
      <scheme val="minor"/>
    </font>
    <font>
      <b/>
      <sz val="16"/>
      <color rgb="FFFF0000"/>
      <name val="Calibri"/>
      <family val="2"/>
      <scheme val="minor"/>
    </font>
    <font>
      <sz val="16"/>
      <color rgb="FFFF0000"/>
      <name val="Calibri"/>
      <family val="2"/>
      <scheme val="minor"/>
    </font>
    <font>
      <b/>
      <sz val="11"/>
      <color theme="1"/>
      <name val="Calibri"/>
      <family val="2"/>
      <scheme val="minor"/>
    </font>
    <font>
      <sz val="12"/>
      <color rgb="FFFF0000"/>
      <name val="Calibri"/>
      <family val="2"/>
      <scheme val="minor"/>
    </font>
    <font>
      <b/>
      <sz val="24"/>
      <color rgb="FFFF0000"/>
      <name val="Calibri"/>
      <family val="2"/>
      <scheme val="minor"/>
    </font>
    <font>
      <b/>
      <i/>
      <sz val="18"/>
      <color rgb="FFFF0000"/>
      <name val="Calibri"/>
      <family val="2"/>
      <scheme val="minor"/>
    </font>
    <font>
      <i/>
      <sz val="12"/>
      <color theme="1"/>
      <name val="Calibri"/>
      <family val="2"/>
      <scheme val="minor"/>
    </font>
    <font>
      <i/>
      <sz val="12"/>
      <color rgb="FF0033CC"/>
      <name val="Calibri"/>
      <family val="2"/>
      <scheme val="minor"/>
    </font>
    <font>
      <b/>
      <i/>
      <sz val="12"/>
      <color theme="1"/>
      <name val="Calibri"/>
      <family val="2"/>
      <scheme val="minor"/>
    </font>
    <font>
      <i/>
      <sz val="18"/>
      <color theme="1"/>
      <name val="Calibri"/>
      <family val="2"/>
      <scheme val="minor"/>
    </font>
    <font>
      <u/>
      <sz val="11"/>
      <color theme="11"/>
      <name val="Calibri"/>
      <family val="2"/>
      <scheme val="minor"/>
    </font>
    <font>
      <b/>
      <sz val="11"/>
      <color rgb="FF189C34"/>
      <name val="Calibri"/>
      <family val="2"/>
      <scheme val="minor"/>
    </font>
    <font>
      <sz val="10"/>
      <color rgb="FF00B050"/>
      <name val="Calibri"/>
      <family val="2"/>
      <scheme val="minor"/>
    </font>
    <font>
      <sz val="10"/>
      <color rgb="FF189C34"/>
      <name val="Calibri"/>
      <family val="2"/>
      <scheme val="minor"/>
    </font>
    <font>
      <b/>
      <sz val="10"/>
      <color rgb="FF189C34"/>
      <name val="Calibri"/>
      <family val="2"/>
      <scheme val="minor"/>
    </font>
    <font>
      <i/>
      <sz val="10"/>
      <color theme="1"/>
      <name val="Calibri"/>
      <family val="2"/>
      <scheme val="minor"/>
    </font>
    <font>
      <i/>
      <sz val="10"/>
      <color rgb="FF0033CC"/>
      <name val="Calibri"/>
      <family val="2"/>
      <scheme val="minor"/>
    </font>
    <font>
      <i/>
      <sz val="18"/>
      <color rgb="FFFF0000"/>
      <name val="Calibri"/>
      <family val="2"/>
      <scheme val="minor"/>
    </font>
    <font>
      <sz val="10"/>
      <color rgb="FF0033CC"/>
      <name val="Calibri"/>
      <family val="2"/>
      <scheme val="minor"/>
    </font>
    <font>
      <i/>
      <sz val="10"/>
      <color rgb="FF189C34"/>
      <name val="Calibri"/>
      <family val="2"/>
      <scheme val="minor"/>
    </font>
    <font>
      <sz val="10"/>
      <color rgb="FF000099"/>
      <name val="Calibri"/>
      <family val="2"/>
      <scheme val="minor"/>
    </font>
    <font>
      <b/>
      <sz val="10"/>
      <color rgb="FFFF0000"/>
      <name val="Calibri"/>
      <family val="2"/>
      <scheme val="minor"/>
    </font>
    <font>
      <sz val="20"/>
      <color rgb="FFFF0000"/>
      <name val="Calibri"/>
      <family val="2"/>
      <scheme val="minor"/>
    </font>
    <font>
      <sz val="10"/>
      <color rgb="FF0070C0"/>
      <name val="Calibri"/>
      <family val="2"/>
      <scheme val="minor"/>
    </font>
    <font>
      <sz val="9"/>
      <color theme="1"/>
      <name val="Calibri"/>
      <family val="2"/>
      <scheme val="minor"/>
    </font>
    <font>
      <sz val="10"/>
      <color rgb="FFFF0000"/>
      <name val="Calibri"/>
      <family val="2"/>
      <scheme val="minor"/>
    </font>
    <font>
      <b/>
      <sz val="11"/>
      <color rgb="FF0033CC"/>
      <name val="Calibri"/>
      <family val="2"/>
      <scheme val="minor"/>
    </font>
    <font>
      <sz val="14"/>
      <color rgb="FFFF0000"/>
      <name val="Calibri"/>
      <family val="2"/>
      <scheme val="minor"/>
    </font>
    <font>
      <b/>
      <i/>
      <sz val="11"/>
      <color theme="1"/>
      <name val="Calibri"/>
      <family val="2"/>
      <scheme val="minor"/>
    </font>
    <font>
      <i/>
      <u/>
      <sz val="10"/>
      <color theme="1"/>
      <name val="Calibri"/>
      <family val="2"/>
      <scheme val="minor"/>
    </font>
    <font>
      <i/>
      <sz val="11"/>
      <color theme="1"/>
      <name val="Calibri"/>
      <family val="2"/>
      <scheme val="minor"/>
    </font>
    <font>
      <i/>
      <sz val="9"/>
      <color theme="1"/>
      <name val="Calibri"/>
      <family val="2"/>
      <scheme val="minor"/>
    </font>
    <font>
      <b/>
      <i/>
      <sz val="10"/>
      <color rgb="FFFF0000"/>
      <name val="Calibri"/>
      <family val="2"/>
      <scheme val="minor"/>
    </font>
    <font>
      <sz val="11"/>
      <color rgb="FFFF0000"/>
      <name val="Calibri"/>
      <family val="2"/>
      <scheme val="minor"/>
    </font>
    <font>
      <b/>
      <sz val="14"/>
      <color rgb="FFFF0000"/>
      <name val="Calibri"/>
      <family val="2"/>
      <scheme val="minor"/>
    </font>
    <font>
      <b/>
      <sz val="11"/>
      <color rgb="FF0070C0"/>
      <name val="Calibri"/>
      <family val="2"/>
      <scheme val="minor"/>
    </font>
    <font>
      <b/>
      <sz val="10"/>
      <color rgb="FF0070C0"/>
      <name val="Calibri"/>
      <family val="2"/>
      <scheme val="minor"/>
    </font>
    <font>
      <b/>
      <sz val="10"/>
      <color rgb="FFFF00FF"/>
      <name val="Calibri"/>
      <family val="2"/>
      <scheme val="minor"/>
    </font>
    <font>
      <b/>
      <sz val="11"/>
      <color rgb="FF00B050"/>
      <name val="Calibri"/>
      <family val="2"/>
      <scheme val="minor"/>
    </font>
    <font>
      <b/>
      <sz val="10"/>
      <color rgb="FF00B050"/>
      <name val="Calibri"/>
      <family val="2"/>
      <scheme val="minor"/>
    </font>
    <font>
      <b/>
      <sz val="11"/>
      <name val="Calibri"/>
      <family val="2"/>
      <scheme val="minor"/>
    </font>
    <font>
      <b/>
      <i/>
      <sz val="11"/>
      <name val="Calibri"/>
      <family val="2"/>
      <scheme val="minor"/>
    </font>
    <font>
      <b/>
      <i/>
      <sz val="10"/>
      <name val="Calibri"/>
      <family val="2"/>
      <scheme val="minor"/>
    </font>
    <font>
      <b/>
      <sz val="14"/>
      <color rgb="FF0033CC"/>
      <name val="Calibri"/>
      <family val="2"/>
      <scheme val="minor"/>
    </font>
    <font>
      <b/>
      <sz val="12"/>
      <color indexed="12"/>
      <name val="Arial"/>
      <family val="2"/>
    </font>
    <font>
      <b/>
      <sz val="12"/>
      <color indexed="10"/>
      <name val="Calibri"/>
      <family val="2"/>
    </font>
    <font>
      <b/>
      <sz val="12"/>
      <color rgb="FF00B050"/>
      <name val="Calibri"/>
      <family val="2"/>
      <scheme val="minor"/>
    </font>
    <font>
      <b/>
      <sz val="11"/>
      <color rgb="FFFF0000"/>
      <name val="Calibri"/>
      <family val="2"/>
      <scheme val="minor"/>
    </font>
    <font>
      <b/>
      <sz val="10"/>
      <color indexed="12"/>
      <name val="Arial"/>
      <family val="2"/>
    </font>
    <font>
      <u/>
      <sz val="10"/>
      <color rgb="FF0070C0"/>
      <name val="Calibri"/>
      <family val="2"/>
      <scheme val="minor"/>
    </font>
    <font>
      <b/>
      <sz val="10"/>
      <name val="Calibri"/>
      <family val="2"/>
    </font>
    <font>
      <b/>
      <sz val="10"/>
      <color rgb="FFFF66CC"/>
      <name val="Calibri"/>
      <family val="2"/>
    </font>
    <font>
      <b/>
      <u/>
      <sz val="10"/>
      <name val="Calibri"/>
      <family val="2"/>
    </font>
    <font>
      <sz val="10"/>
      <name val="Calibri"/>
      <family val="2"/>
    </font>
    <font>
      <u/>
      <sz val="10"/>
      <name val="Calibri"/>
      <family val="2"/>
    </font>
    <font>
      <b/>
      <sz val="10"/>
      <color rgb="FFFF00FF"/>
      <name val="Arial"/>
      <family val="2"/>
    </font>
    <font>
      <b/>
      <sz val="10"/>
      <color rgb="FFFF66CC"/>
      <name val="Calibri"/>
      <family val="2"/>
      <scheme val="minor"/>
    </font>
    <font>
      <b/>
      <sz val="10"/>
      <name val="Calibri"/>
      <family val="2"/>
      <scheme val="minor"/>
    </font>
    <font>
      <b/>
      <sz val="9"/>
      <color theme="1"/>
      <name val="Calibri"/>
      <family val="2"/>
      <scheme val="minor"/>
    </font>
    <font>
      <u/>
      <sz val="10"/>
      <color rgb="FF0070C0"/>
      <name val="Calibri"/>
      <family val="2"/>
    </font>
    <font>
      <b/>
      <sz val="10"/>
      <color theme="9" tint="0.59999389629810485"/>
      <name val="Calibri"/>
      <family val="2"/>
      <scheme val="minor"/>
    </font>
    <font>
      <sz val="10"/>
      <color rgb="FFFF00FF"/>
      <name val="Calibri"/>
      <family val="2"/>
      <scheme val="minor"/>
    </font>
    <font>
      <b/>
      <sz val="10"/>
      <color rgb="FF0033CC"/>
      <name val="Calibri"/>
      <family val="2"/>
      <scheme val="minor"/>
    </font>
    <font>
      <b/>
      <sz val="10"/>
      <color rgb="FF000099"/>
      <name val="Calibri"/>
      <family val="2"/>
      <scheme val="minor"/>
    </font>
    <font>
      <sz val="10"/>
      <color theme="9" tint="-0.249977111117893"/>
      <name val="Calibri"/>
      <family val="2"/>
      <scheme val="minor"/>
    </font>
    <font>
      <b/>
      <sz val="14"/>
      <color rgb="FF189C34"/>
      <name val="Calibri"/>
      <family val="2"/>
      <scheme val="minor"/>
    </font>
    <font>
      <i/>
      <sz val="14"/>
      <color theme="1"/>
      <name val="Calibri"/>
      <family val="2"/>
      <scheme val="minor"/>
    </font>
    <font>
      <b/>
      <i/>
      <sz val="14"/>
      <color theme="1"/>
      <name val="Calibri"/>
      <family val="2"/>
      <scheme val="minor"/>
    </font>
    <font>
      <i/>
      <sz val="11"/>
      <color rgb="FFFF0000"/>
      <name val="Calibri"/>
      <family val="2"/>
      <scheme val="minor"/>
    </font>
    <font>
      <sz val="10"/>
      <color theme="0" tint="-0.14999847407452621"/>
      <name val="Calibri"/>
      <family val="2"/>
      <scheme val="minor"/>
    </font>
    <font>
      <b/>
      <i/>
      <sz val="10"/>
      <color theme="1"/>
      <name val="Calibri"/>
      <family val="2"/>
      <scheme val="minor"/>
    </font>
    <font>
      <b/>
      <sz val="10"/>
      <color theme="9" tint="-0.249977111117893"/>
      <name val="Calibri"/>
      <family val="2"/>
      <scheme val="minor"/>
    </font>
    <font>
      <b/>
      <u/>
      <sz val="11"/>
      <color rgb="FFFF0000"/>
      <name val="Calibri"/>
      <family val="2"/>
      <scheme val="minor"/>
    </font>
    <font>
      <b/>
      <u/>
      <sz val="10"/>
      <color rgb="FF0033CC"/>
      <name val="Calibri"/>
      <family val="2"/>
      <scheme val="minor"/>
    </font>
    <font>
      <b/>
      <i/>
      <sz val="14"/>
      <color rgb="FFFF66CC"/>
      <name val="Calibri"/>
      <family val="2"/>
      <scheme val="minor"/>
    </font>
    <font>
      <b/>
      <i/>
      <sz val="14"/>
      <color rgb="FF189C34"/>
      <name val="Calibri"/>
      <family val="2"/>
      <scheme val="minor"/>
    </font>
    <font>
      <b/>
      <i/>
      <sz val="14"/>
      <color rgb="FFFF0000"/>
      <name val="Calibri"/>
      <family val="2"/>
      <scheme val="minor"/>
    </font>
    <font>
      <b/>
      <i/>
      <sz val="10"/>
      <color rgb="FF0033CC"/>
      <name val="Calibri"/>
      <family val="2"/>
      <scheme val="minor"/>
    </font>
    <font>
      <i/>
      <sz val="10"/>
      <name val="Calibri"/>
      <family val="2"/>
      <scheme val="minor"/>
    </font>
    <font>
      <i/>
      <sz val="10"/>
      <color rgb="FFFF66CC"/>
      <name val="Calibri"/>
      <family val="2"/>
      <scheme val="minor"/>
    </font>
    <font>
      <i/>
      <sz val="10"/>
      <color theme="9" tint="-0.249977111117893"/>
      <name val="Calibri"/>
      <family val="2"/>
      <scheme val="minor"/>
    </font>
    <font>
      <b/>
      <i/>
      <sz val="10"/>
      <color rgb="FF189C34"/>
      <name val="Calibri"/>
      <family val="2"/>
      <scheme val="minor"/>
    </font>
    <font>
      <b/>
      <i/>
      <sz val="11"/>
      <color rgb="FF0033CC"/>
      <name val="Calibri"/>
      <family val="2"/>
      <scheme val="minor"/>
    </font>
    <font>
      <b/>
      <i/>
      <sz val="11"/>
      <color rgb="FFFF0000"/>
      <name val="Calibri"/>
      <family val="2"/>
      <scheme val="minor"/>
    </font>
    <font>
      <b/>
      <i/>
      <sz val="12"/>
      <color theme="9" tint="-0.249977111117893"/>
      <name val="Calibri"/>
      <family val="2"/>
      <scheme val="minor"/>
    </font>
    <font>
      <i/>
      <sz val="12"/>
      <color rgb="FFFF0000"/>
      <name val="Calibri"/>
      <family val="2"/>
      <scheme val="minor"/>
    </font>
    <font>
      <i/>
      <sz val="10"/>
      <color theme="9" tint="-0.499984740745262"/>
      <name val="Calibri"/>
      <family val="2"/>
      <scheme val="minor"/>
    </font>
    <font>
      <i/>
      <sz val="10"/>
      <color rgb="FFFF0000"/>
      <name val="Calibri"/>
      <family val="2"/>
      <scheme val="minor"/>
    </font>
    <font>
      <i/>
      <sz val="11"/>
      <color theme="9" tint="-0.249977111117893"/>
      <name val="Calibri"/>
      <family val="2"/>
      <scheme val="minor"/>
    </font>
    <font>
      <sz val="11"/>
      <name val="Calibri"/>
      <family val="2"/>
      <scheme val="minor"/>
    </font>
    <font>
      <sz val="9"/>
      <name val="Calibri"/>
      <family val="2"/>
      <scheme val="minor"/>
    </font>
    <font>
      <b/>
      <sz val="20"/>
      <color rgb="FF3399FF"/>
      <name val="Calibri"/>
      <family val="2"/>
      <scheme val="minor"/>
    </font>
    <font>
      <sz val="20"/>
      <color theme="1"/>
      <name val="Calibri"/>
      <family val="2"/>
      <scheme val="minor"/>
    </font>
  </fonts>
  <fills count="4">
    <fill>
      <patternFill patternType="none"/>
    </fill>
    <fill>
      <patternFill patternType="gray125"/>
    </fill>
    <fill>
      <patternFill patternType="solid">
        <fgColor rgb="FF99CCFF"/>
        <bgColor indexed="64"/>
      </patternFill>
    </fill>
    <fill>
      <patternFill patternType="solid">
        <fgColor rgb="FFE7F6FF"/>
        <bgColor indexed="64"/>
      </patternFill>
    </fill>
  </fills>
  <borders count="9">
    <border>
      <left/>
      <right/>
      <top/>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thin">
        <color auto="1"/>
      </top>
      <bottom style="medium">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1">
    <xf numFmtId="0" fontId="0" fillId="0" borderId="0"/>
    <xf numFmtId="9" fontId="3" fillId="0" borderId="0" applyFont="0" applyFill="0" applyBorder="0" applyAlignment="0" applyProtection="0"/>
    <xf numFmtId="0" fontId="13" fillId="0" borderId="0" applyNumberFormat="0" applyFill="0" applyBorder="0" applyAlignment="0" applyProtection="0"/>
    <xf numFmtId="43" fontId="3"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402">
    <xf numFmtId="0" fontId="0" fillId="0" borderId="0" xfId="0"/>
    <xf numFmtId="0" fontId="5" fillId="0" borderId="0" xfId="0" applyFont="1" applyAlignment="1">
      <alignment horizontal="center"/>
    </xf>
    <xf numFmtId="9" fontId="6" fillId="2" borderId="0" xfId="0" applyNumberFormat="1" applyFont="1" applyFill="1" applyAlignment="1">
      <alignment horizontal="center"/>
    </xf>
    <xf numFmtId="0" fontId="8" fillId="0" borderId="0" xfId="0" applyFont="1" applyAlignment="1">
      <alignment horizontal="center"/>
    </xf>
    <xf numFmtId="0" fontId="10" fillId="0" borderId="0" xfId="0" applyFont="1"/>
    <xf numFmtId="0" fontId="5" fillId="0" borderId="0" xfId="0" applyFont="1" applyAlignment="1">
      <alignment horizontal="center" vertical="center"/>
    </xf>
    <xf numFmtId="0" fontId="8" fillId="0" borderId="0" xfId="0" applyFont="1"/>
    <xf numFmtId="0" fontId="5" fillId="0" borderId="0" xfId="0" applyFont="1"/>
    <xf numFmtId="0" fontId="2" fillId="0" borderId="0" xfId="0" applyFont="1"/>
    <xf numFmtId="15" fontId="2" fillId="0" borderId="0" xfId="0" applyNumberFormat="1" applyFont="1"/>
    <xf numFmtId="0" fontId="2" fillId="0" borderId="0" xfId="0" applyFont="1" applyAlignment="1">
      <alignment horizontal="center"/>
    </xf>
    <xf numFmtId="15" fontId="4" fillId="0" borderId="0" xfId="0" applyNumberFormat="1" applyFont="1" applyAlignment="1">
      <alignment horizontal="center"/>
    </xf>
    <xf numFmtId="0" fontId="12" fillId="0" borderId="0" xfId="0" applyFont="1"/>
    <xf numFmtId="0" fontId="14" fillId="0" borderId="0" xfId="0" applyFont="1"/>
    <xf numFmtId="3" fontId="8" fillId="0" borderId="0" xfId="0" applyNumberFormat="1" applyFont="1"/>
    <xf numFmtId="0" fontId="16" fillId="0" borderId="0" xfId="0" applyFont="1"/>
    <xf numFmtId="0" fontId="15" fillId="0" borderId="0" xfId="0" applyFont="1" applyAlignment="1">
      <alignment horizontal="center"/>
    </xf>
    <xf numFmtId="15" fontId="15" fillId="0" borderId="0" xfId="0" applyNumberFormat="1" applyFont="1" applyAlignment="1">
      <alignment horizontal="center"/>
    </xf>
    <xf numFmtId="0" fontId="11"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164" fontId="5" fillId="0" borderId="0" xfId="1" applyNumberFormat="1" applyFont="1" applyAlignment="1">
      <alignment horizontal="center"/>
    </xf>
    <xf numFmtId="0" fontId="17" fillId="0" borderId="0" xfId="0" applyFont="1"/>
    <xf numFmtId="3" fontId="5" fillId="0" borderId="0" xfId="0" applyNumberFormat="1" applyFont="1" applyAlignment="1">
      <alignment horizontal="center"/>
    </xf>
    <xf numFmtId="3" fontId="8" fillId="0" borderId="0" xfId="0" applyNumberFormat="1" applyFont="1" applyAlignment="1">
      <alignment horizontal="center"/>
    </xf>
    <xf numFmtId="3" fontId="5" fillId="0" borderId="0" xfId="0" applyNumberFormat="1" applyFont="1"/>
    <xf numFmtId="0" fontId="20" fillId="2" borderId="0" xfId="0" applyFont="1" applyFill="1" applyAlignment="1">
      <alignment horizontal="center"/>
    </xf>
    <xf numFmtId="0" fontId="19" fillId="0" borderId="0" xfId="0" applyFont="1"/>
    <xf numFmtId="165" fontId="8" fillId="0" borderId="0" xfId="0" applyNumberFormat="1" applyFont="1" applyAlignment="1">
      <alignment horizontal="center"/>
    </xf>
    <xf numFmtId="3" fontId="22" fillId="0" borderId="0" xfId="0" applyNumberFormat="1" applyFont="1" applyAlignment="1">
      <alignment horizontal="center"/>
    </xf>
    <xf numFmtId="3" fontId="22" fillId="0" borderId="0" xfId="0" applyNumberFormat="1" applyFont="1" applyAlignment="1">
      <alignment horizontal="center" vertical="center"/>
    </xf>
    <xf numFmtId="0" fontId="25" fillId="0" borderId="0" xfId="0" applyFont="1" applyAlignment="1">
      <alignment vertical="center"/>
    </xf>
    <xf numFmtId="3" fontId="5" fillId="0" borderId="2" xfId="0" applyNumberFormat="1" applyFont="1" applyBorder="1" applyAlignment="1">
      <alignment horizontal="center"/>
    </xf>
    <xf numFmtId="3" fontId="21" fillId="0" borderId="0" xfId="0" applyNumberFormat="1" applyFont="1" applyAlignment="1">
      <alignment vertical="center"/>
    </xf>
    <xf numFmtId="3" fontId="7" fillId="0" borderId="0" xfId="0" applyNumberFormat="1" applyFont="1" applyAlignment="1">
      <alignment horizontal="center"/>
    </xf>
    <xf numFmtId="3" fontId="27" fillId="0" borderId="0" xfId="0" applyNumberFormat="1" applyFont="1" applyAlignment="1">
      <alignment horizontal="center" vertical="center"/>
    </xf>
    <xf numFmtId="9" fontId="5" fillId="0" borderId="0" xfId="1" applyFont="1" applyAlignment="1">
      <alignment horizontal="center"/>
    </xf>
    <xf numFmtId="165" fontId="5" fillId="0" borderId="2" xfId="0" applyNumberFormat="1" applyFont="1" applyBorder="1" applyAlignment="1">
      <alignment horizontal="center"/>
    </xf>
    <xf numFmtId="0" fontId="30" fillId="0" borderId="0" xfId="0" applyFont="1" applyAlignment="1">
      <alignment vertical="center"/>
    </xf>
    <xf numFmtId="3" fontId="31" fillId="0" borderId="0" xfId="0" applyNumberFormat="1" applyFont="1" applyAlignment="1">
      <alignment horizontal="center"/>
    </xf>
    <xf numFmtId="3" fontId="31" fillId="0" borderId="0" xfId="0" applyNumberFormat="1" applyFont="1"/>
    <xf numFmtId="3" fontId="33" fillId="0" borderId="0" xfId="0" applyNumberFormat="1" applyFont="1" applyAlignment="1">
      <alignment horizontal="center"/>
    </xf>
    <xf numFmtId="0" fontId="10" fillId="0" borderId="0" xfId="0" applyFont="1" applyAlignment="1">
      <alignment vertical="center"/>
    </xf>
    <xf numFmtId="3" fontId="10" fillId="0" borderId="0" xfId="0" applyNumberFormat="1" applyFont="1" applyAlignment="1">
      <alignment vertical="center"/>
    </xf>
    <xf numFmtId="38" fontId="0" fillId="0" borderId="0" xfId="0" applyNumberFormat="1" applyAlignment="1">
      <alignment horizontal="center" vertical="center"/>
    </xf>
    <xf numFmtId="38" fontId="27" fillId="0" borderId="0" xfId="0" applyNumberFormat="1" applyFont="1" applyAlignment="1">
      <alignment horizontal="center" vertical="center"/>
    </xf>
    <xf numFmtId="15" fontId="4" fillId="0" borderId="0" xfId="0" applyNumberFormat="1" applyFont="1" applyAlignment="1">
      <alignment horizontal="center" vertical="center"/>
    </xf>
    <xf numFmtId="0" fontId="12" fillId="0" borderId="0" xfId="0" applyFont="1" applyAlignment="1">
      <alignment horizontal="center" vertical="center"/>
    </xf>
    <xf numFmtId="0" fontId="16" fillId="0" borderId="0" xfId="0" applyFont="1" applyAlignment="1">
      <alignment horizontal="center" vertical="center"/>
    </xf>
    <xf numFmtId="0" fontId="29" fillId="0" borderId="0" xfId="0" applyFont="1"/>
    <xf numFmtId="38" fontId="5" fillId="0" borderId="0" xfId="0" applyNumberFormat="1" applyFont="1" applyAlignment="1">
      <alignment horizontal="center"/>
    </xf>
    <xf numFmtId="38" fontId="0" fillId="0" borderId="0" xfId="0" applyNumberFormat="1"/>
    <xf numFmtId="38" fontId="27" fillId="0" borderId="0" xfId="3" applyNumberFormat="1" applyFont="1" applyAlignment="1">
      <alignment horizontal="center" vertical="center"/>
    </xf>
    <xf numFmtId="38" fontId="0" fillId="0" borderId="0" xfId="3" applyNumberFormat="1" applyFont="1" applyAlignment="1">
      <alignment horizontal="center" vertical="center"/>
    </xf>
    <xf numFmtId="0" fontId="1" fillId="0" borderId="0" xfId="0" applyFont="1" applyAlignment="1">
      <alignment vertical="center"/>
    </xf>
    <xf numFmtId="0" fontId="1" fillId="0" borderId="0" xfId="0" applyFont="1"/>
    <xf numFmtId="3" fontId="7" fillId="0" borderId="0" xfId="0" applyNumberFormat="1" applyFont="1"/>
    <xf numFmtId="3" fontId="1" fillId="0" borderId="0" xfId="0" applyNumberFormat="1" applyFont="1" applyAlignment="1">
      <alignment horizontal="center"/>
    </xf>
    <xf numFmtId="3" fontId="1" fillId="0" borderId="0" xfId="0" applyNumberFormat="1" applyFont="1"/>
    <xf numFmtId="3" fontId="1" fillId="0" borderId="0" xfId="0" applyNumberFormat="1" applyFont="1" applyAlignment="1">
      <alignment vertical="center"/>
    </xf>
    <xf numFmtId="0" fontId="17" fillId="0" borderId="0" xfId="0" applyFont="1" applyAlignment="1">
      <alignment vertical="center"/>
    </xf>
    <xf numFmtId="3" fontId="1" fillId="0" borderId="0" xfId="0" applyNumberFormat="1" applyFont="1" applyAlignment="1">
      <alignment horizontal="center" vertical="center"/>
    </xf>
    <xf numFmtId="165" fontId="1" fillId="0" borderId="0" xfId="0" applyNumberFormat="1" applyFont="1" applyAlignment="1">
      <alignment horizontal="center" vertical="center"/>
    </xf>
    <xf numFmtId="0" fontId="40" fillId="0" borderId="0" xfId="0" applyFont="1"/>
    <xf numFmtId="38" fontId="12" fillId="0" borderId="0" xfId="0" applyNumberFormat="1" applyFont="1" applyAlignment="1">
      <alignment vertical="center"/>
    </xf>
    <xf numFmtId="3" fontId="40" fillId="0" borderId="0" xfId="0" applyNumberFormat="1" applyFont="1"/>
    <xf numFmtId="38" fontId="40" fillId="0" borderId="0" xfId="0" applyNumberFormat="1" applyFont="1"/>
    <xf numFmtId="38" fontId="40" fillId="0" borderId="0" xfId="0" quotePrefix="1" applyNumberFormat="1" applyFont="1"/>
    <xf numFmtId="3" fontId="40" fillId="0" borderId="0" xfId="0" quotePrefix="1" applyNumberFormat="1" applyFont="1"/>
    <xf numFmtId="38" fontId="12" fillId="0" borderId="0" xfId="0" applyNumberFormat="1" applyFont="1"/>
    <xf numFmtId="3" fontId="12" fillId="0" borderId="0" xfId="0" applyNumberFormat="1" applyFont="1"/>
    <xf numFmtId="3" fontId="22" fillId="0" borderId="0" xfId="0" applyNumberFormat="1" applyFont="1" applyAlignment="1">
      <alignment vertical="center"/>
    </xf>
    <xf numFmtId="3" fontId="7" fillId="0" borderId="0" xfId="0" applyNumberFormat="1" applyFont="1" applyAlignment="1">
      <alignment horizontal="center" vertical="center"/>
    </xf>
    <xf numFmtId="3" fontId="5" fillId="0" borderId="0" xfId="0" applyNumberFormat="1" applyFont="1" applyAlignment="1">
      <alignment horizontal="center" vertical="center"/>
    </xf>
    <xf numFmtId="3" fontId="12" fillId="0" borderId="0" xfId="0" quotePrefix="1" applyNumberFormat="1" applyFont="1"/>
    <xf numFmtId="3" fontId="12" fillId="0" borderId="0" xfId="0" applyNumberFormat="1" applyFont="1" applyAlignment="1">
      <alignment vertical="center"/>
    </xf>
    <xf numFmtId="38" fontId="33" fillId="0" borderId="2" xfId="0" applyNumberFormat="1" applyFont="1" applyBorder="1" applyAlignment="1">
      <alignment horizontal="center" vertical="center"/>
    </xf>
    <xf numFmtId="3" fontId="33" fillId="0" borderId="0" xfId="0" applyNumberFormat="1" applyFont="1" applyAlignment="1">
      <alignment vertical="center"/>
    </xf>
    <xf numFmtId="3" fontId="40" fillId="0" borderId="0" xfId="0" applyNumberFormat="1" applyFont="1" applyAlignment="1">
      <alignment vertical="center"/>
    </xf>
    <xf numFmtId="3" fontId="33" fillId="0" borderId="2" xfId="0" applyNumberFormat="1" applyFont="1" applyBorder="1" applyAlignment="1">
      <alignment horizontal="center" vertical="center"/>
    </xf>
    <xf numFmtId="9" fontId="45" fillId="2" borderId="0" xfId="0" applyNumberFormat="1" applyFont="1" applyFill="1" applyAlignment="1">
      <alignment horizontal="center"/>
    </xf>
    <xf numFmtId="3" fontId="46" fillId="0" borderId="0" xfId="0" applyNumberFormat="1" applyFont="1"/>
    <xf numFmtId="38" fontId="5" fillId="0" borderId="2" xfId="0" applyNumberFormat="1" applyFont="1" applyBorder="1" applyAlignment="1">
      <alignment horizontal="center"/>
    </xf>
    <xf numFmtId="38" fontId="7" fillId="0" borderId="0" xfId="0" applyNumberFormat="1" applyFont="1" applyAlignment="1">
      <alignment horizontal="center"/>
    </xf>
    <xf numFmtId="0" fontId="27" fillId="0" borderId="0" xfId="0" applyFont="1" applyAlignment="1">
      <alignment horizontal="center" vertical="center"/>
    </xf>
    <xf numFmtId="0" fontId="46" fillId="0" borderId="0" xfId="0" applyFont="1"/>
    <xf numFmtId="3" fontId="5" fillId="0" borderId="0" xfId="0" applyNumberFormat="1" applyFont="1" applyAlignment="1">
      <alignment vertical="center"/>
    </xf>
    <xf numFmtId="3" fontId="31" fillId="0" borderId="0" xfId="0" applyNumberFormat="1" applyFont="1" applyAlignment="1">
      <alignment vertical="center"/>
    </xf>
    <xf numFmtId="0" fontId="55" fillId="0" borderId="0" xfId="0" applyFont="1"/>
    <xf numFmtId="38" fontId="53" fillId="0" borderId="0" xfId="0" applyNumberFormat="1" applyFont="1" applyAlignment="1">
      <alignment horizontal="center" vertical="center"/>
    </xf>
    <xf numFmtId="38" fontId="55" fillId="0" borderId="0" xfId="0" applyNumberFormat="1" applyFont="1" applyAlignment="1">
      <alignment horizontal="center" vertical="center"/>
    </xf>
    <xf numFmtId="38" fontId="55" fillId="0" borderId="0" xfId="0" applyNumberFormat="1" applyFont="1"/>
    <xf numFmtId="38" fontId="53" fillId="0" borderId="0" xfId="3" applyNumberFormat="1" applyFont="1" applyAlignment="1">
      <alignment horizontal="center" vertical="center"/>
    </xf>
    <xf numFmtId="38" fontId="55" fillId="0" borderId="0" xfId="3" applyNumberFormat="1" applyFont="1" applyAlignment="1">
      <alignment horizontal="center" vertical="center"/>
    </xf>
    <xf numFmtId="0" fontId="53" fillId="0" borderId="0" xfId="0" applyFont="1"/>
    <xf numFmtId="38" fontId="53" fillId="0" borderId="2" xfId="3" applyNumberFormat="1" applyFont="1" applyBorder="1" applyAlignment="1">
      <alignment horizontal="center" vertical="center"/>
    </xf>
    <xf numFmtId="3" fontId="54" fillId="0" borderId="0" xfId="0" quotePrefix="1" applyNumberFormat="1" applyFont="1"/>
    <xf numFmtId="38" fontId="55" fillId="0" borderId="0" xfId="3" applyNumberFormat="1" applyFont="1" applyBorder="1" applyAlignment="1">
      <alignment horizontal="center" vertical="center"/>
    </xf>
    <xf numFmtId="3" fontId="55" fillId="0" borderId="0" xfId="0" applyNumberFormat="1" applyFont="1"/>
    <xf numFmtId="38" fontId="12" fillId="0" borderId="0" xfId="0" applyNumberFormat="1" applyFont="1" applyAlignment="1">
      <alignment horizontal="center" vertical="center"/>
    </xf>
    <xf numFmtId="38" fontId="53" fillId="0" borderId="4" xfId="3" applyNumberFormat="1" applyFont="1" applyBorder="1" applyAlignment="1">
      <alignment horizontal="center" vertical="center"/>
    </xf>
    <xf numFmtId="38" fontId="33" fillId="0" borderId="0" xfId="0" applyNumberFormat="1" applyFont="1" applyAlignment="1">
      <alignment horizontal="center" vertical="center"/>
    </xf>
    <xf numFmtId="38" fontId="55" fillId="0" borderId="2" xfId="3" applyNumberFormat="1" applyFont="1" applyBorder="1" applyAlignment="1">
      <alignment horizontal="center" vertical="center"/>
    </xf>
    <xf numFmtId="0" fontId="49" fillId="0" borderId="0" xfId="0" applyFont="1"/>
    <xf numFmtId="0" fontId="56" fillId="0" borderId="0" xfId="0" applyFont="1" applyAlignment="1">
      <alignment vertical="center"/>
    </xf>
    <xf numFmtId="38" fontId="56" fillId="0" borderId="0" xfId="0" applyNumberFormat="1" applyFont="1" applyAlignment="1">
      <alignment vertical="center"/>
    </xf>
    <xf numFmtId="38" fontId="56" fillId="0" borderId="0" xfId="3" applyNumberFormat="1" applyFont="1" applyAlignment="1">
      <alignment vertical="center"/>
    </xf>
    <xf numFmtId="0" fontId="56" fillId="0" borderId="0" xfId="0" applyFont="1"/>
    <xf numFmtId="3" fontId="49" fillId="0" borderId="0" xfId="0" applyNumberFormat="1" applyFont="1"/>
    <xf numFmtId="0" fontId="57" fillId="0" borderId="0" xfId="0" applyFont="1"/>
    <xf numFmtId="0" fontId="8" fillId="0" borderId="0" xfId="0" quotePrefix="1" applyFont="1"/>
    <xf numFmtId="0" fontId="59" fillId="0" borderId="0" xfId="0" applyFont="1" applyAlignment="1">
      <alignment vertical="center"/>
    </xf>
    <xf numFmtId="0" fontId="60" fillId="0" borderId="0" xfId="0" applyFont="1" applyAlignment="1">
      <alignment vertical="center"/>
    </xf>
    <xf numFmtId="0" fontId="61" fillId="0" borderId="0" xfId="0" applyFont="1" applyAlignment="1">
      <alignment horizontal="center"/>
    </xf>
    <xf numFmtId="0" fontId="48" fillId="0" borderId="0" xfId="0" applyFont="1"/>
    <xf numFmtId="0" fontId="62" fillId="0" borderId="0" xfId="0" applyFont="1" applyAlignment="1">
      <alignment horizontal="center"/>
    </xf>
    <xf numFmtId="0" fontId="63" fillId="0" borderId="0" xfId="0" applyFont="1"/>
    <xf numFmtId="0" fontId="37" fillId="0" borderId="0" xfId="0" applyFont="1"/>
    <xf numFmtId="3" fontId="64" fillId="0" borderId="0" xfId="0" applyNumberFormat="1" applyFont="1" applyAlignment="1">
      <alignment horizontal="left"/>
    </xf>
    <xf numFmtId="0" fontId="65" fillId="0" borderId="0" xfId="0" applyFont="1"/>
    <xf numFmtId="0" fontId="14" fillId="0" borderId="0" xfId="0" applyFont="1" applyAlignment="1">
      <alignment horizontal="center"/>
    </xf>
    <xf numFmtId="0" fontId="66" fillId="0" borderId="0" xfId="0" applyFont="1"/>
    <xf numFmtId="0" fontId="67" fillId="0" borderId="0" xfId="0" applyFont="1" applyAlignment="1">
      <alignment horizontal="center"/>
    </xf>
    <xf numFmtId="164" fontId="64" fillId="0" borderId="0" xfId="1" applyNumberFormat="1" applyFont="1" applyAlignment="1">
      <alignment horizontal="left"/>
    </xf>
    <xf numFmtId="9" fontId="64" fillId="0" borderId="0" xfId="1" applyFont="1" applyAlignment="1">
      <alignment horizontal="center"/>
    </xf>
    <xf numFmtId="0" fontId="21" fillId="0" borderId="0" xfId="0" applyFont="1" applyAlignment="1">
      <alignment horizontal="center" vertical="center"/>
    </xf>
    <xf numFmtId="0" fontId="21" fillId="0" borderId="0" xfId="0" applyFont="1" applyAlignment="1">
      <alignment vertical="center"/>
    </xf>
    <xf numFmtId="0" fontId="1" fillId="0" borderId="0" xfId="0" applyFont="1" applyAlignment="1">
      <alignment horizontal="center" vertical="center"/>
    </xf>
    <xf numFmtId="0" fontId="70" fillId="0" borderId="0" xfId="0" applyFont="1" applyAlignment="1">
      <alignment vertical="center"/>
    </xf>
    <xf numFmtId="0" fontId="18" fillId="0" borderId="0" xfId="0" applyFont="1"/>
    <xf numFmtId="0" fontId="0" fillId="0" borderId="0" xfId="0" applyAlignment="1">
      <alignment vertical="center"/>
    </xf>
    <xf numFmtId="0" fontId="16" fillId="0" borderId="0" xfId="2" applyFont="1" applyFill="1"/>
    <xf numFmtId="0" fontId="76" fillId="0" borderId="0" xfId="0" applyFont="1" applyAlignment="1">
      <alignment vertical="center"/>
    </xf>
    <xf numFmtId="0" fontId="15" fillId="0" borderId="0" xfId="0" applyFont="1"/>
    <xf numFmtId="0" fontId="80" fillId="0" borderId="0" xfId="0" applyFont="1"/>
    <xf numFmtId="0" fontId="81" fillId="0" borderId="0" xfId="0" applyFont="1"/>
    <xf numFmtId="0" fontId="12" fillId="0" borderId="0" xfId="0" quotePrefix="1" applyFont="1"/>
    <xf numFmtId="0" fontId="83" fillId="0" borderId="0" xfId="0" applyFont="1" applyAlignment="1">
      <alignment horizontal="center"/>
    </xf>
    <xf numFmtId="0" fontId="49" fillId="0" borderId="0" xfId="0" quotePrefix="1" applyFont="1"/>
    <xf numFmtId="0" fontId="69" fillId="0" borderId="0" xfId="0" applyFont="1" applyAlignment="1">
      <alignment vertical="center"/>
    </xf>
    <xf numFmtId="0" fontId="73" fillId="0" borderId="0" xfId="0" applyFont="1" applyAlignment="1">
      <alignment vertical="center"/>
    </xf>
    <xf numFmtId="0" fontId="73" fillId="0" borderId="0" xfId="0" applyFont="1" applyAlignment="1">
      <alignment horizontal="center" vertical="center"/>
    </xf>
    <xf numFmtId="0" fontId="78" fillId="0" borderId="0" xfId="0" applyFont="1" applyAlignment="1">
      <alignment vertical="center"/>
    </xf>
    <xf numFmtId="0" fontId="70" fillId="0" borderId="0" xfId="0" applyFont="1"/>
    <xf numFmtId="0" fontId="22" fillId="0" borderId="0" xfId="0" applyFont="1" applyAlignment="1">
      <alignment vertical="center"/>
    </xf>
    <xf numFmtId="3" fontId="10" fillId="0" borderId="0" xfId="0" applyNumberFormat="1" applyFont="1" applyAlignment="1">
      <alignment horizontal="center" vertical="center"/>
    </xf>
    <xf numFmtId="165" fontId="10" fillId="0" borderId="0" xfId="0" applyNumberFormat="1" applyFont="1" applyAlignment="1">
      <alignment horizontal="center" vertical="center"/>
    </xf>
    <xf numFmtId="3" fontId="10" fillId="0" borderId="0" xfId="0" applyNumberFormat="1" applyFont="1" applyAlignment="1">
      <alignment horizontal="center"/>
    </xf>
    <xf numFmtId="3" fontId="7" fillId="0" borderId="0" xfId="0" applyNumberFormat="1" applyFont="1" applyAlignment="1">
      <alignment vertical="center"/>
    </xf>
    <xf numFmtId="0" fontId="59" fillId="0" borderId="0" xfId="0" applyFont="1"/>
    <xf numFmtId="0" fontId="71" fillId="0" borderId="0" xfId="0" applyFont="1" applyAlignment="1">
      <alignment vertical="center"/>
    </xf>
    <xf numFmtId="0" fontId="5" fillId="0" borderId="0" xfId="0" applyFont="1" applyAlignment="1">
      <alignment vertical="center"/>
    </xf>
    <xf numFmtId="3" fontId="72" fillId="0" borderId="0" xfId="0" applyNumberFormat="1" applyFont="1"/>
    <xf numFmtId="3" fontId="27" fillId="0" borderId="0" xfId="0" applyNumberFormat="1" applyFont="1"/>
    <xf numFmtId="3" fontId="27" fillId="0" borderId="0" xfId="0" applyNumberFormat="1" applyFont="1" applyAlignment="1">
      <alignment vertical="center"/>
    </xf>
    <xf numFmtId="0" fontId="72" fillId="0" borderId="0" xfId="0" applyFont="1"/>
    <xf numFmtId="0" fontId="64" fillId="0" borderId="0" xfId="0" applyFont="1" applyAlignment="1">
      <alignment vertical="center"/>
    </xf>
    <xf numFmtId="0" fontId="37" fillId="0" borderId="0" xfId="0" applyFont="1" applyAlignment="1">
      <alignment vertical="center"/>
    </xf>
    <xf numFmtId="0" fontId="85" fillId="0" borderId="0" xfId="0" applyFont="1"/>
    <xf numFmtId="164" fontId="14" fillId="0" borderId="0" xfId="1" applyNumberFormat="1" applyFont="1" applyAlignment="1">
      <alignment horizontal="center"/>
    </xf>
    <xf numFmtId="0" fontId="12" fillId="0" borderId="0" xfId="0" applyFont="1" applyAlignment="1">
      <alignment horizontal="center"/>
    </xf>
    <xf numFmtId="0" fontId="86" fillId="0" borderId="0" xfId="0" applyFont="1" applyAlignment="1">
      <alignment horizontal="center"/>
    </xf>
    <xf numFmtId="3" fontId="12" fillId="0" borderId="0" xfId="0" applyNumberFormat="1" applyFont="1" applyAlignment="1">
      <alignment horizontal="center" vertical="center"/>
    </xf>
    <xf numFmtId="165" fontId="12" fillId="0" borderId="0" xfId="0" applyNumberFormat="1" applyFont="1" applyAlignment="1">
      <alignment horizontal="center" vertical="center"/>
    </xf>
    <xf numFmtId="3" fontId="14" fillId="0" borderId="0" xfId="0" applyNumberFormat="1" applyFont="1" applyAlignment="1">
      <alignment horizontal="center"/>
    </xf>
    <xf numFmtId="3" fontId="12" fillId="0" borderId="0" xfId="0" applyNumberFormat="1" applyFont="1" applyAlignment="1">
      <alignment horizontal="center"/>
    </xf>
    <xf numFmtId="3" fontId="14" fillId="0" borderId="0" xfId="0" applyNumberFormat="1" applyFont="1"/>
    <xf numFmtId="9" fontId="12" fillId="0" borderId="0" xfId="1" applyFont="1" applyAlignment="1">
      <alignment horizontal="center"/>
    </xf>
    <xf numFmtId="3" fontId="14" fillId="0" borderId="0" xfId="0" applyNumberFormat="1" applyFont="1" applyAlignment="1">
      <alignment horizontal="center" vertical="center"/>
    </xf>
    <xf numFmtId="3" fontId="12" fillId="0" borderId="3" xfId="0" applyNumberFormat="1" applyFont="1" applyBorder="1" applyAlignment="1">
      <alignment horizontal="center"/>
    </xf>
    <xf numFmtId="3" fontId="48" fillId="0" borderId="0" xfId="0" applyNumberFormat="1" applyFont="1" applyAlignment="1">
      <alignment horizontal="right" indent="2"/>
    </xf>
    <xf numFmtId="3" fontId="48" fillId="0" borderId="0" xfId="0" applyNumberFormat="1" applyFont="1" applyAlignment="1">
      <alignment horizontal="center"/>
    </xf>
    <xf numFmtId="3" fontId="14" fillId="0" borderId="0" xfId="0" applyNumberFormat="1" applyFont="1" applyAlignment="1">
      <alignment vertical="center"/>
    </xf>
    <xf numFmtId="3" fontId="48" fillId="0" borderId="0" xfId="0" applyNumberFormat="1" applyFont="1" applyAlignment="1">
      <alignment horizontal="right" vertical="top"/>
    </xf>
    <xf numFmtId="0" fontId="12" fillId="0" borderId="0" xfId="0" applyFont="1" applyAlignment="1">
      <alignment vertical="top"/>
    </xf>
    <xf numFmtId="3" fontId="48" fillId="0" borderId="0" xfId="0" applyNumberFormat="1" applyFont="1" applyAlignment="1">
      <alignment horizontal="center" vertical="top"/>
    </xf>
    <xf numFmtId="0" fontId="14" fillId="0" borderId="0" xfId="0" applyFont="1" applyAlignment="1">
      <alignment horizontal="center" vertical="top"/>
    </xf>
    <xf numFmtId="0" fontId="45" fillId="2" borderId="0" xfId="0" applyFont="1" applyFill="1" applyAlignment="1">
      <alignment horizontal="center"/>
    </xf>
    <xf numFmtId="9" fontId="88" fillId="2" borderId="0" xfId="0" applyNumberFormat="1" applyFont="1" applyFill="1" applyAlignment="1">
      <alignment horizontal="center"/>
    </xf>
    <xf numFmtId="0" fontId="12" fillId="0" borderId="0" xfId="0" applyFont="1" applyAlignment="1">
      <alignment vertical="center" wrapText="1"/>
    </xf>
    <xf numFmtId="0" fontId="68" fillId="0" borderId="0" xfId="0" applyFont="1" applyAlignment="1">
      <alignment vertical="center" wrapText="1"/>
    </xf>
    <xf numFmtId="0" fontId="68" fillId="0" borderId="0" xfId="0" applyFont="1" applyAlignment="1">
      <alignment horizontal="center" vertical="center" wrapText="1"/>
    </xf>
    <xf numFmtId="1" fontId="68" fillId="0" borderId="0" xfId="0" applyNumberFormat="1" applyFont="1" applyAlignment="1">
      <alignment horizontal="center" vertical="center" wrapText="1"/>
    </xf>
    <xf numFmtId="0" fontId="9" fillId="0" borderId="0" xfId="0" applyFont="1" applyAlignment="1">
      <alignment horizontal="center" vertical="center"/>
    </xf>
    <xf numFmtId="3" fontId="43" fillId="0" borderId="0" xfId="0" quotePrefix="1" applyNumberFormat="1" applyFont="1"/>
    <xf numFmtId="3" fontId="43" fillId="0" borderId="0" xfId="0" applyNumberFormat="1" applyFont="1"/>
    <xf numFmtId="9" fontId="43" fillId="0" borderId="0" xfId="1" applyFont="1" applyFill="1" applyAlignment="1">
      <alignment horizontal="center"/>
    </xf>
    <xf numFmtId="3" fontId="43" fillId="0" borderId="0" xfId="0" applyNumberFormat="1" applyFont="1" applyAlignment="1">
      <alignment horizontal="center"/>
    </xf>
    <xf numFmtId="3" fontId="87" fillId="0" borderId="0" xfId="0" applyNumberFormat="1" applyFont="1" applyAlignment="1">
      <alignment horizontal="center"/>
    </xf>
    <xf numFmtId="4" fontId="43" fillId="0" borderId="0" xfId="0" applyNumberFormat="1" applyFont="1" applyAlignment="1">
      <alignment horizontal="center"/>
    </xf>
    <xf numFmtId="3" fontId="7" fillId="0" borderId="2" xfId="0" applyNumberFormat="1" applyFont="1" applyBorder="1" applyAlignment="1">
      <alignment horizontal="center"/>
    </xf>
    <xf numFmtId="3" fontId="22" fillId="0" borderId="2" xfId="0" applyNumberFormat="1" applyFont="1" applyBorder="1" applyAlignment="1">
      <alignment horizontal="center"/>
    </xf>
    <xf numFmtId="3" fontId="89" fillId="0" borderId="0" xfId="0" applyNumberFormat="1" applyFont="1" applyAlignment="1">
      <alignment horizontal="right" indent="2"/>
    </xf>
    <xf numFmtId="0" fontId="89" fillId="0" borderId="0" xfId="0" applyFont="1"/>
    <xf numFmtId="3" fontId="89" fillId="0" borderId="0" xfId="0" applyNumberFormat="1" applyFont="1" applyAlignment="1">
      <alignment horizontal="center"/>
    </xf>
    <xf numFmtId="3" fontId="89" fillId="0" borderId="0" xfId="0" applyNumberFormat="1" applyFont="1" applyAlignment="1">
      <alignment horizontal="right" vertical="top"/>
    </xf>
    <xf numFmtId="0" fontId="89" fillId="0" borderId="0" xfId="0" applyFont="1" applyAlignment="1">
      <alignment vertical="top"/>
    </xf>
    <xf numFmtId="3" fontId="89" fillId="0" borderId="0" xfId="0" applyNumberFormat="1" applyFont="1" applyAlignment="1">
      <alignment horizontal="center" vertical="top"/>
    </xf>
    <xf numFmtId="3" fontId="22" fillId="0" borderId="2" xfId="0" applyNumberFormat="1" applyFont="1" applyBorder="1" applyAlignment="1">
      <alignment horizontal="center" vertical="center"/>
    </xf>
    <xf numFmtId="38" fontId="7" fillId="0" borderId="0" xfId="0" applyNumberFormat="1" applyFont="1"/>
    <xf numFmtId="3" fontId="5" fillId="0" borderId="2" xfId="0" applyNumberFormat="1" applyFont="1" applyBorder="1" applyAlignment="1">
      <alignment horizontal="center" vertical="center"/>
    </xf>
    <xf numFmtId="3" fontId="93" fillId="0" borderId="0" xfId="0" applyNumberFormat="1" applyFont="1"/>
    <xf numFmtId="3" fontId="27" fillId="0" borderId="2" xfId="0" applyNumberFormat="1" applyFont="1" applyBorder="1" applyAlignment="1">
      <alignment horizontal="center" vertical="center"/>
    </xf>
    <xf numFmtId="0" fontId="82" fillId="0" borderId="0" xfId="0" applyFont="1" applyAlignment="1">
      <alignment vertical="center"/>
    </xf>
    <xf numFmtId="164" fontId="82" fillId="0" borderId="0" xfId="1" applyNumberFormat="1" applyFont="1" applyAlignment="1">
      <alignment horizontal="center" vertical="center"/>
    </xf>
    <xf numFmtId="0" fontId="94" fillId="0" borderId="0" xfId="0" applyFont="1" applyAlignment="1">
      <alignment horizontal="center" vertical="center"/>
    </xf>
    <xf numFmtId="0" fontId="94" fillId="0" borderId="0" xfId="0" applyFont="1" applyAlignment="1">
      <alignment vertical="center"/>
    </xf>
    <xf numFmtId="3" fontId="40" fillId="0" borderId="0" xfId="0" applyNumberFormat="1" applyFont="1" applyAlignment="1">
      <alignment horizontal="center"/>
    </xf>
    <xf numFmtId="3" fontId="95" fillId="0" borderId="0" xfId="0" applyNumberFormat="1" applyFont="1" applyAlignment="1">
      <alignment horizontal="center"/>
    </xf>
    <xf numFmtId="0" fontId="95" fillId="0" borderId="0" xfId="0" applyFont="1" applyAlignment="1">
      <alignment horizontal="center"/>
    </xf>
    <xf numFmtId="4" fontId="40" fillId="0" borderId="1" xfId="0" applyNumberFormat="1" applyFont="1" applyBorder="1" applyAlignment="1">
      <alignment horizontal="center"/>
    </xf>
    <xf numFmtId="4" fontId="40" fillId="0" borderId="0" xfId="0" applyNumberFormat="1" applyFont="1" applyAlignment="1">
      <alignment horizontal="center"/>
    </xf>
    <xf numFmtId="3" fontId="41" fillId="3" borderId="1" xfId="0" applyNumberFormat="1" applyFont="1" applyFill="1" applyBorder="1" applyAlignment="1">
      <alignment horizontal="center"/>
    </xf>
    <xf numFmtId="3" fontId="40" fillId="0" borderId="2" xfId="0" applyNumberFormat="1" applyFont="1" applyBorder="1" applyAlignment="1">
      <alignment horizontal="center"/>
    </xf>
    <xf numFmtId="3" fontId="95" fillId="0" borderId="0" xfId="0" quotePrefix="1" applyNumberFormat="1" applyFont="1"/>
    <xf numFmtId="3" fontId="14" fillId="0" borderId="0" xfId="0" quotePrefix="1" applyNumberFormat="1" applyFont="1"/>
    <xf numFmtId="3" fontId="14" fillId="0" borderId="4" xfId="0" applyNumberFormat="1" applyFont="1" applyBorder="1" applyAlignment="1">
      <alignment horizontal="center"/>
    </xf>
    <xf numFmtId="3" fontId="12" fillId="0" borderId="0" xfId="0" quotePrefix="1" applyNumberFormat="1" applyFont="1" applyAlignment="1">
      <alignment horizontal="right"/>
    </xf>
    <xf numFmtId="38" fontId="14" fillId="0" borderId="0" xfId="0" applyNumberFormat="1" applyFont="1" applyAlignment="1">
      <alignment horizontal="center"/>
    </xf>
    <xf numFmtId="3" fontId="12" fillId="0" borderId="1" xfId="0" applyNumberFormat="1" applyFont="1" applyBorder="1" applyAlignment="1">
      <alignment horizontal="center"/>
    </xf>
    <xf numFmtId="4" fontId="12" fillId="0" borderId="0" xfId="0" applyNumberFormat="1" applyFont="1" applyAlignment="1">
      <alignment horizontal="center"/>
    </xf>
    <xf numFmtId="0" fontId="50" fillId="0" borderId="0" xfId="0" applyFont="1"/>
    <xf numFmtId="38" fontId="14" fillId="0" borderId="0" xfId="0" applyNumberFormat="1" applyFont="1" applyAlignment="1">
      <alignment horizontal="center" vertical="center"/>
    </xf>
    <xf numFmtId="38" fontId="14" fillId="0" borderId="0" xfId="0" applyNumberFormat="1" applyFont="1" applyAlignment="1">
      <alignment vertical="center"/>
    </xf>
    <xf numFmtId="38" fontId="14" fillId="0" borderId="2" xfId="0" applyNumberFormat="1" applyFont="1" applyBorder="1" applyAlignment="1">
      <alignment horizontal="center" vertical="center"/>
    </xf>
    <xf numFmtId="38" fontId="14" fillId="0" borderId="0" xfId="0" applyNumberFormat="1" applyFont="1"/>
    <xf numFmtId="38" fontId="12" fillId="0" borderId="0" xfId="0" applyNumberFormat="1" applyFont="1" applyAlignment="1">
      <alignment horizontal="center"/>
    </xf>
    <xf numFmtId="38" fontId="14" fillId="0" borderId="1" xfId="0" applyNumberFormat="1" applyFont="1" applyBorder="1" applyAlignment="1">
      <alignment horizontal="center" vertical="center"/>
    </xf>
    <xf numFmtId="38" fontId="12" fillId="0" borderId="2" xfId="0" applyNumberFormat="1" applyFont="1" applyBorder="1" applyAlignment="1">
      <alignment horizontal="center"/>
    </xf>
    <xf numFmtId="0" fontId="90" fillId="0" borderId="0" xfId="0" applyFont="1" applyAlignment="1">
      <alignment vertical="center" wrapText="1"/>
    </xf>
    <xf numFmtId="0" fontId="90" fillId="0" borderId="0" xfId="0" applyFont="1" applyAlignment="1">
      <alignment horizontal="center" vertical="center" wrapText="1"/>
    </xf>
    <xf numFmtId="1" fontId="90" fillId="0" borderId="0" xfId="0" applyNumberFormat="1" applyFont="1" applyAlignment="1">
      <alignment horizontal="center" vertical="center" wrapText="1"/>
    </xf>
    <xf numFmtId="0" fontId="10" fillId="0" borderId="0" xfId="0" applyFont="1" applyAlignment="1">
      <alignment vertical="center" wrapText="1"/>
    </xf>
    <xf numFmtId="0" fontId="96" fillId="0" borderId="0" xfId="0" applyFont="1"/>
    <xf numFmtId="0" fontId="39" fillId="0" borderId="0" xfId="0" applyFont="1" applyAlignment="1">
      <alignment vertical="center" wrapText="1"/>
    </xf>
    <xf numFmtId="3" fontId="38" fillId="0" borderId="0" xfId="0" applyNumberFormat="1" applyFont="1"/>
    <xf numFmtId="3" fontId="39" fillId="0" borderId="0" xfId="0" applyNumberFormat="1" applyFont="1" applyAlignment="1">
      <alignment horizontal="center"/>
    </xf>
    <xf numFmtId="3" fontId="21" fillId="0" borderId="0" xfId="0" applyNumberFormat="1" applyFont="1" applyAlignment="1">
      <alignment horizontal="center" vertical="center"/>
    </xf>
    <xf numFmtId="165" fontId="21" fillId="0" borderId="0" xfId="0" applyNumberFormat="1" applyFont="1" applyAlignment="1">
      <alignment horizontal="center" vertical="center"/>
    </xf>
    <xf numFmtId="3" fontId="16" fillId="0" borderId="0" xfId="0" applyNumberFormat="1" applyFont="1" applyAlignment="1">
      <alignment horizontal="center"/>
    </xf>
    <xf numFmtId="3" fontId="16" fillId="0" borderId="0" xfId="0" applyNumberFormat="1" applyFont="1"/>
    <xf numFmtId="3" fontId="41" fillId="0" borderId="0" xfId="0" applyNumberFormat="1" applyFont="1"/>
    <xf numFmtId="9" fontId="41" fillId="0" borderId="0" xfId="1" applyFont="1" applyFill="1" applyAlignment="1">
      <alignment horizontal="center"/>
    </xf>
    <xf numFmtId="164" fontId="41" fillId="0" borderId="0" xfId="1" applyNumberFormat="1" applyFont="1" applyFill="1" applyAlignment="1">
      <alignment horizontal="center"/>
    </xf>
    <xf numFmtId="3" fontId="38" fillId="0" borderId="0" xfId="0" applyNumberFormat="1" applyFont="1" applyAlignment="1">
      <alignment horizontal="center"/>
    </xf>
    <xf numFmtId="3" fontId="39" fillId="0" borderId="0" xfId="0" applyNumberFormat="1" applyFont="1"/>
    <xf numFmtId="4" fontId="87" fillId="0" borderId="0" xfId="0" applyNumberFormat="1" applyFont="1" applyAlignment="1">
      <alignment horizontal="center"/>
    </xf>
    <xf numFmtId="9" fontId="87" fillId="0" borderId="0" xfId="1" applyFont="1" applyFill="1" applyAlignment="1">
      <alignment horizontal="center"/>
    </xf>
    <xf numFmtId="3" fontId="43" fillId="0" borderId="0" xfId="0" applyNumberFormat="1" applyFont="1" applyAlignment="1">
      <alignment vertical="center"/>
    </xf>
    <xf numFmtId="3" fontId="81" fillId="0" borderId="0" xfId="0" applyNumberFormat="1" applyFont="1" applyAlignment="1">
      <alignment horizontal="center" vertical="center"/>
    </xf>
    <xf numFmtId="3" fontId="87" fillId="0" borderId="0" xfId="0" applyNumberFormat="1" applyFont="1" applyAlignment="1">
      <alignment horizontal="center" vertical="center"/>
    </xf>
    <xf numFmtId="3" fontId="87" fillId="0" borderId="0" xfId="0" applyNumberFormat="1" applyFont="1" applyAlignment="1">
      <alignment vertical="center"/>
    </xf>
    <xf numFmtId="3" fontId="87" fillId="0" borderId="0" xfId="0" quotePrefix="1" applyNumberFormat="1" applyFont="1"/>
    <xf numFmtId="4" fontId="39" fillId="0" borderId="0" xfId="0" applyNumberFormat="1" applyFont="1" applyAlignment="1">
      <alignment horizontal="center" vertical="center"/>
    </xf>
    <xf numFmtId="4" fontId="38" fillId="0" borderId="0" xfId="0" applyNumberFormat="1" applyFont="1" applyAlignment="1">
      <alignment horizontal="center"/>
    </xf>
    <xf numFmtId="40" fontId="12" fillId="0" borderId="2" xfId="0" applyNumberFormat="1" applyFont="1" applyBorder="1" applyAlignment="1">
      <alignment horizontal="center"/>
    </xf>
    <xf numFmtId="3" fontId="39" fillId="0" borderId="0" xfId="0" applyNumberFormat="1" applyFont="1" applyAlignment="1">
      <alignment horizontal="center" vertical="center"/>
    </xf>
    <xf numFmtId="3" fontId="82" fillId="0" borderId="0" xfId="0" applyNumberFormat="1" applyFont="1" applyAlignment="1">
      <alignment horizontal="center" vertical="center"/>
    </xf>
    <xf numFmtId="3" fontId="82" fillId="0" borderId="0" xfId="0" applyNumberFormat="1" applyFont="1" applyAlignment="1">
      <alignment vertical="center"/>
    </xf>
    <xf numFmtId="0" fontId="16" fillId="0" borderId="0" xfId="0" applyFont="1" applyAlignment="1">
      <alignment vertical="center"/>
    </xf>
    <xf numFmtId="3" fontId="24" fillId="0" borderId="0" xfId="0" applyNumberFormat="1" applyFont="1" applyAlignment="1">
      <alignment horizontal="center"/>
    </xf>
    <xf numFmtId="3" fontId="24" fillId="0" borderId="0" xfId="0" applyNumberFormat="1" applyFont="1"/>
    <xf numFmtId="0" fontId="50" fillId="0" borderId="0" xfId="0" applyFont="1" applyAlignment="1">
      <alignment vertical="center"/>
    </xf>
    <xf numFmtId="3" fontId="12" fillId="0" borderId="2" xfId="0" applyNumberFormat="1" applyFont="1" applyBorder="1" applyAlignment="1">
      <alignment horizontal="center"/>
    </xf>
    <xf numFmtId="9" fontId="12" fillId="0" borderId="0" xfId="1" applyFont="1" applyFill="1"/>
    <xf numFmtId="9" fontId="12" fillId="0" borderId="0" xfId="1" applyFont="1" applyFill="1" applyAlignment="1">
      <alignment horizontal="center"/>
    </xf>
    <xf numFmtId="164" fontId="12" fillId="0" borderId="0" xfId="1" applyNumberFormat="1" applyFont="1" applyFill="1" applyAlignment="1">
      <alignment horizontal="center"/>
    </xf>
    <xf numFmtId="9" fontId="14" fillId="0" borderId="0" xfId="1" applyFont="1" applyFill="1" applyAlignment="1">
      <alignment horizontal="center"/>
    </xf>
    <xf numFmtId="38" fontId="51" fillId="0" borderId="1" xfId="0" applyNumberFormat="1" applyFont="1" applyBorder="1" applyAlignment="1">
      <alignment horizontal="center"/>
    </xf>
    <xf numFmtId="166" fontId="5" fillId="0" borderId="0" xfId="0" applyNumberFormat="1" applyFont="1" applyAlignment="1">
      <alignment horizontal="center"/>
    </xf>
    <xf numFmtId="3" fontId="24" fillId="0" borderId="0" xfId="0" applyNumberFormat="1" applyFont="1" applyAlignment="1">
      <alignment horizontal="center" vertical="center"/>
    </xf>
    <xf numFmtId="3" fontId="24"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vertical="center"/>
    </xf>
    <xf numFmtId="38" fontId="22" fillId="0" borderId="4" xfId="0" applyNumberFormat="1" applyFont="1" applyBorder="1" applyAlignment="1">
      <alignment horizontal="center" vertical="center"/>
    </xf>
    <xf numFmtId="0" fontId="49" fillId="0" borderId="0" xfId="0" applyFont="1" applyAlignment="1">
      <alignment horizontal="center"/>
    </xf>
    <xf numFmtId="0" fontId="23" fillId="0" borderId="0" xfId="0" applyFont="1" applyAlignment="1">
      <alignment vertical="center" wrapText="1"/>
    </xf>
    <xf numFmtId="0" fontId="38" fillId="0" borderId="0" xfId="0" applyFont="1" applyAlignment="1">
      <alignment vertical="center" wrapText="1"/>
    </xf>
    <xf numFmtId="38" fontId="38" fillId="0" borderId="0" xfId="0" applyNumberFormat="1" applyFont="1" applyAlignment="1">
      <alignment horizontal="center"/>
    </xf>
    <xf numFmtId="0" fontId="14" fillId="0" borderId="0" xfId="0" applyFont="1" applyAlignment="1">
      <alignment vertical="center"/>
    </xf>
    <xf numFmtId="0" fontId="12" fillId="0" borderId="7" xfId="0" applyFont="1" applyBorder="1" applyAlignment="1">
      <alignment vertical="center"/>
    </xf>
    <xf numFmtId="164" fontId="14" fillId="0" borderId="0" xfId="1" applyNumberFormat="1" applyFont="1" applyFill="1" applyBorder="1" applyAlignment="1">
      <alignment horizontal="center" vertical="center"/>
    </xf>
    <xf numFmtId="9" fontId="12" fillId="0" borderId="1" xfId="1" applyFont="1" applyFill="1" applyBorder="1" applyAlignment="1">
      <alignment horizontal="center"/>
    </xf>
    <xf numFmtId="38" fontId="38" fillId="0" borderId="0" xfId="0" applyNumberFormat="1" applyFont="1" applyAlignment="1">
      <alignment horizontal="center" vertical="center" wrapText="1"/>
    </xf>
    <xf numFmtId="3" fontId="12" fillId="0" borderId="0" xfId="0" applyNumberFormat="1" applyFont="1" applyAlignment="1">
      <alignment horizontal="left"/>
    </xf>
    <xf numFmtId="0" fontId="12" fillId="0" borderId="0" xfId="0" applyFont="1" applyAlignment="1">
      <alignment horizontal="left"/>
    </xf>
    <xf numFmtId="38" fontId="7" fillId="0" borderId="0" xfId="0" applyNumberFormat="1" applyFont="1" applyAlignment="1">
      <alignment horizontal="center" vertical="center"/>
    </xf>
    <xf numFmtId="38" fontId="7" fillId="0" borderId="2" xfId="0" applyNumberFormat="1" applyFont="1" applyBorder="1" applyAlignment="1">
      <alignment horizontal="center" vertical="center"/>
    </xf>
    <xf numFmtId="38" fontId="7" fillId="0" borderId="4" xfId="0" applyNumberFormat="1" applyFont="1" applyBorder="1" applyAlignment="1">
      <alignment horizontal="center" vertical="center"/>
    </xf>
    <xf numFmtId="0" fontId="7" fillId="0" borderId="0" xfId="0" applyFont="1" applyAlignment="1">
      <alignment vertical="center"/>
    </xf>
    <xf numFmtId="38" fontId="5" fillId="0" borderId="1" xfId="0" applyNumberFormat="1" applyFont="1" applyBorder="1" applyAlignment="1">
      <alignment horizontal="center"/>
    </xf>
    <xf numFmtId="0" fontId="89" fillId="0" borderId="0" xfId="0" applyFont="1" applyAlignment="1">
      <alignment vertical="center"/>
    </xf>
    <xf numFmtId="3" fontId="7" fillId="0" borderId="6" xfId="0" applyNumberFormat="1" applyFont="1" applyBorder="1" applyAlignment="1">
      <alignment vertical="center"/>
    </xf>
    <xf numFmtId="164" fontId="7" fillId="0" borderId="8" xfId="1" applyNumberFormat="1" applyFont="1" applyFill="1" applyBorder="1" applyAlignment="1">
      <alignment horizontal="center" vertical="center"/>
    </xf>
    <xf numFmtId="0" fontId="96" fillId="0" borderId="0" xfId="0" applyFont="1" applyAlignment="1">
      <alignment horizontal="center"/>
    </xf>
    <xf numFmtId="0" fontId="89" fillId="0" borderId="0" xfId="0" applyFont="1" applyAlignment="1">
      <alignment horizontal="center"/>
    </xf>
    <xf numFmtId="3" fontId="22" fillId="0" borderId="6" xfId="0" applyNumberFormat="1" applyFont="1" applyBorder="1" applyAlignment="1">
      <alignment vertical="center"/>
    </xf>
    <xf numFmtId="38" fontId="22" fillId="0" borderId="8" xfId="0" applyNumberFormat="1" applyFont="1" applyBorder="1" applyAlignment="1">
      <alignment horizontal="center" vertical="center"/>
    </xf>
    <xf numFmtId="0" fontId="24" fillId="0" borderId="0" xfId="0" applyFont="1" applyAlignment="1">
      <alignment vertical="center" wrapText="1"/>
    </xf>
    <xf numFmtId="0" fontId="24" fillId="0" borderId="0" xfId="0" applyFont="1" applyAlignment="1">
      <alignment horizontal="center" vertical="center" wrapText="1"/>
    </xf>
    <xf numFmtId="1" fontId="24" fillId="0" borderId="0" xfId="0" applyNumberFormat="1" applyFont="1" applyAlignment="1">
      <alignment horizontal="center" vertical="center" wrapText="1"/>
    </xf>
    <xf numFmtId="0" fontId="1" fillId="0" borderId="0" xfId="0" applyFont="1" applyAlignment="1">
      <alignment vertical="center" wrapText="1"/>
    </xf>
    <xf numFmtId="0" fontId="40" fillId="0" borderId="0" xfId="0" applyFont="1" applyAlignment="1">
      <alignment vertical="center"/>
    </xf>
    <xf numFmtId="0" fontId="99" fillId="0" borderId="0" xfId="0" applyFont="1" applyAlignment="1">
      <alignment vertical="center"/>
    </xf>
    <xf numFmtId="0" fontId="91" fillId="0" borderId="0" xfId="0" applyFont="1" applyAlignment="1">
      <alignment vertical="center"/>
    </xf>
    <xf numFmtId="0" fontId="92" fillId="0" borderId="0" xfId="0" applyFont="1" applyAlignment="1">
      <alignment horizontal="center" vertical="center"/>
    </xf>
    <xf numFmtId="0" fontId="91" fillId="0" borderId="0" xfId="0" applyFont="1" applyAlignment="1">
      <alignment horizontal="center" vertical="center"/>
    </xf>
    <xf numFmtId="0" fontId="100" fillId="0" borderId="0" xfId="0" applyFont="1" applyAlignment="1">
      <alignment vertical="center" wrapText="1"/>
    </xf>
    <xf numFmtId="0" fontId="100" fillId="0" borderId="0" xfId="0" applyFont="1" applyAlignment="1">
      <alignment horizontal="center" vertical="center" wrapText="1"/>
    </xf>
    <xf numFmtId="1" fontId="100" fillId="0" borderId="0" xfId="0" applyNumberFormat="1" applyFont="1" applyAlignment="1">
      <alignment horizontal="center" vertical="center" wrapText="1"/>
    </xf>
    <xf numFmtId="0" fontId="91" fillId="0" borderId="0" xfId="0" applyFont="1" applyAlignment="1">
      <alignment vertical="center" wrapText="1"/>
    </xf>
    <xf numFmtId="0" fontId="33" fillId="0" borderId="0" xfId="0" applyFont="1" applyAlignment="1">
      <alignment vertical="center"/>
    </xf>
    <xf numFmtId="3" fontId="34" fillId="0" borderId="0" xfId="0" applyNumberFormat="1" applyFont="1" applyAlignment="1">
      <alignment horizontal="center" vertical="center"/>
    </xf>
    <xf numFmtId="165" fontId="34" fillId="0" borderId="0" xfId="0" applyNumberFormat="1" applyFont="1" applyAlignment="1">
      <alignment horizontal="center" vertical="center"/>
    </xf>
    <xf numFmtId="3" fontId="34" fillId="0" borderId="0" xfId="0" applyNumberFormat="1" applyFont="1" applyAlignment="1">
      <alignment vertical="center"/>
    </xf>
    <xf numFmtId="3" fontId="102" fillId="0" borderId="0" xfId="0" applyNumberFormat="1" applyFont="1"/>
    <xf numFmtId="3" fontId="102" fillId="0" borderId="0" xfId="0" applyNumberFormat="1" applyFont="1" applyAlignment="1">
      <alignment horizontal="center"/>
    </xf>
    <xf numFmtId="0" fontId="95" fillId="0" borderId="0" xfId="0" applyFont="1"/>
    <xf numFmtId="0" fontId="103" fillId="0" borderId="0" xfId="0" applyFont="1"/>
    <xf numFmtId="3" fontId="33" fillId="0" borderId="0" xfId="0" applyNumberFormat="1" applyFont="1" applyAlignment="1">
      <alignment horizontal="center" vertical="center"/>
    </xf>
    <xf numFmtId="0" fontId="44" fillId="0" borderId="0" xfId="0" applyFont="1" applyAlignment="1">
      <alignment vertical="center" wrapText="1"/>
    </xf>
    <xf numFmtId="0" fontId="104" fillId="0" borderId="0" xfId="0" applyFont="1" applyAlignment="1">
      <alignment horizontal="left" vertical="center"/>
    </xf>
    <xf numFmtId="38" fontId="40" fillId="0" borderId="0" xfId="0" applyNumberFormat="1" applyFont="1" applyAlignment="1">
      <alignment horizontal="center"/>
    </xf>
    <xf numFmtId="9" fontId="102" fillId="0" borderId="0" xfId="1" applyFont="1" applyFill="1" applyAlignment="1">
      <alignment horizontal="center"/>
    </xf>
    <xf numFmtId="164" fontId="102" fillId="0" borderId="0" xfId="1" applyNumberFormat="1" applyFont="1" applyFill="1" applyAlignment="1">
      <alignment horizontal="center"/>
    </xf>
    <xf numFmtId="38" fontId="95" fillId="0" borderId="0" xfId="0" applyNumberFormat="1" applyFont="1" applyAlignment="1">
      <alignment horizontal="center"/>
    </xf>
    <xf numFmtId="38" fontId="40" fillId="0" borderId="0" xfId="0" quotePrefix="1" applyNumberFormat="1" applyFont="1" applyAlignment="1">
      <alignment horizontal="center"/>
    </xf>
    <xf numFmtId="0" fontId="105" fillId="0" borderId="0" xfId="0" applyFont="1"/>
    <xf numFmtId="3" fontId="44" fillId="0" borderId="0" xfId="0" applyNumberFormat="1" applyFont="1"/>
    <xf numFmtId="4" fontId="40" fillId="0" borderId="0" xfId="0" quotePrefix="1" applyNumberFormat="1" applyFont="1" applyAlignment="1">
      <alignment horizontal="center"/>
    </xf>
    <xf numFmtId="38" fontId="40" fillId="0" borderId="2" xfId="0" quotePrefix="1" applyNumberFormat="1" applyFont="1" applyBorder="1" applyAlignment="1">
      <alignment horizontal="center"/>
    </xf>
    <xf numFmtId="38" fontId="102" fillId="0" borderId="1" xfId="0" applyNumberFormat="1" applyFont="1" applyBorder="1" applyAlignment="1">
      <alignment horizontal="center"/>
    </xf>
    <xf numFmtId="38" fontId="95" fillId="0" borderId="0" xfId="0" quotePrefix="1" applyNumberFormat="1" applyFont="1"/>
    <xf numFmtId="38" fontId="95" fillId="0" borderId="0" xfId="0" applyNumberFormat="1" applyFont="1"/>
    <xf numFmtId="3" fontId="44" fillId="0" borderId="0" xfId="0" quotePrefix="1" applyNumberFormat="1" applyFont="1"/>
    <xf numFmtId="3" fontId="106" fillId="0" borderId="0" xfId="0" applyNumberFormat="1" applyFont="1" applyAlignment="1">
      <alignment horizontal="center"/>
    </xf>
    <xf numFmtId="9" fontId="44" fillId="0" borderId="0" xfId="1" applyFont="1" applyFill="1" applyAlignment="1">
      <alignment horizontal="center"/>
    </xf>
    <xf numFmtId="9" fontId="106" fillId="0" borderId="0" xfId="1" applyFont="1" applyFill="1" applyAlignment="1">
      <alignment horizontal="center"/>
    </xf>
    <xf numFmtId="3" fontId="40" fillId="0" borderId="2" xfId="0" quotePrefix="1" applyNumberFormat="1" applyFont="1" applyBorder="1" applyAlignment="1">
      <alignment horizontal="center"/>
    </xf>
    <xf numFmtId="3" fontId="31" fillId="0" borderId="0" xfId="0" applyNumberFormat="1" applyFont="1" applyAlignment="1">
      <alignment horizontal="center" vertical="center"/>
    </xf>
    <xf numFmtId="3" fontId="31" fillId="0" borderId="2" xfId="0" applyNumberFormat="1" applyFont="1" applyBorder="1" applyAlignment="1">
      <alignment horizontal="center" vertical="center"/>
    </xf>
    <xf numFmtId="38" fontId="7" fillId="0" borderId="4" xfId="0" applyNumberFormat="1" applyFont="1" applyBorder="1" applyAlignment="1">
      <alignment horizontal="center"/>
    </xf>
    <xf numFmtId="38" fontId="72" fillId="0" borderId="0" xfId="0" quotePrefix="1" applyNumberFormat="1" applyFont="1"/>
    <xf numFmtId="0" fontId="38" fillId="0" borderId="0" xfId="0" applyFont="1"/>
    <xf numFmtId="0" fontId="46" fillId="0" borderId="0" xfId="0" applyFont="1" applyAlignment="1">
      <alignment vertical="center"/>
    </xf>
    <xf numFmtId="0" fontId="57" fillId="0" borderId="0" xfId="0" applyFont="1" applyAlignment="1">
      <alignment vertical="center"/>
    </xf>
    <xf numFmtId="38" fontId="107" fillId="0" borderId="1" xfId="0" applyNumberFormat="1" applyFont="1" applyBorder="1" applyAlignment="1">
      <alignment horizontal="center"/>
    </xf>
    <xf numFmtId="0" fontId="108" fillId="0" borderId="0" xfId="0" applyFont="1" applyAlignment="1">
      <alignment vertical="center"/>
    </xf>
    <xf numFmtId="0" fontId="109" fillId="0" borderId="0" xfId="0" applyFont="1"/>
    <xf numFmtId="38" fontId="41" fillId="0" borderId="1" xfId="0" applyNumberFormat="1" applyFont="1" applyBorder="1" applyAlignment="1">
      <alignment horizontal="center"/>
    </xf>
    <xf numFmtId="0" fontId="31" fillId="0" borderId="0" xfId="0" applyFont="1" applyAlignment="1">
      <alignment vertical="center"/>
    </xf>
    <xf numFmtId="165" fontId="31" fillId="0" borderId="0" xfId="0" applyNumberFormat="1" applyFont="1" applyAlignment="1">
      <alignment horizontal="center" vertical="center"/>
    </xf>
    <xf numFmtId="3" fontId="44" fillId="0" borderId="0" xfId="0" applyNumberFormat="1" applyFont="1" applyAlignment="1">
      <alignment horizontal="center"/>
    </xf>
    <xf numFmtId="38" fontId="111" fillId="0" borderId="0" xfId="0" quotePrefix="1" applyNumberFormat="1" applyFont="1"/>
    <xf numFmtId="0" fontId="113" fillId="0" borderId="0" xfId="0" applyFont="1"/>
    <xf numFmtId="0" fontId="99" fillId="0" borderId="0" xfId="0" applyFont="1"/>
    <xf numFmtId="3" fontId="32" fillId="0" borderId="0" xfId="0" applyNumberFormat="1" applyFont="1" applyAlignment="1">
      <alignment horizontal="center"/>
    </xf>
    <xf numFmtId="3" fontId="0" fillId="0" borderId="0" xfId="0" applyNumberFormat="1"/>
    <xf numFmtId="4" fontId="38" fillId="0" borderId="0" xfId="0" applyNumberFormat="1" applyFont="1" applyAlignment="1">
      <alignment horizontal="center" vertical="center"/>
    </xf>
    <xf numFmtId="38" fontId="39" fillId="0" borderId="0" xfId="0" applyNumberFormat="1" applyFont="1" applyAlignment="1">
      <alignment horizontal="center" vertical="center"/>
    </xf>
    <xf numFmtId="38" fontId="38" fillId="0" borderId="0" xfId="0" applyNumberFormat="1" applyFont="1" applyAlignment="1">
      <alignment horizontal="center" vertical="center"/>
    </xf>
    <xf numFmtId="38" fontId="95" fillId="0" borderId="0" xfId="0" applyNumberFormat="1" applyFont="1" applyAlignment="1">
      <alignment horizontal="center" vertical="center"/>
    </xf>
    <xf numFmtId="38" fontId="40" fillId="0" borderId="0" xfId="0" applyNumberFormat="1" applyFont="1" applyAlignment="1">
      <alignment horizontal="center" vertical="center"/>
    </xf>
    <xf numFmtId="38" fontId="39" fillId="0" borderId="0" xfId="3" applyNumberFormat="1" applyFont="1" applyFill="1" applyAlignment="1">
      <alignment horizontal="center" vertical="center"/>
    </xf>
    <xf numFmtId="38" fontId="38" fillId="0" borderId="0" xfId="3" applyNumberFormat="1" applyFont="1" applyFill="1" applyAlignment="1">
      <alignment horizontal="center" vertical="center"/>
    </xf>
    <xf numFmtId="0" fontId="38" fillId="0" borderId="0" xfId="0" applyFont="1" applyAlignment="1">
      <alignment vertical="center"/>
    </xf>
    <xf numFmtId="38" fontId="38" fillId="0" borderId="5" xfId="0" applyNumberFormat="1" applyFont="1" applyBorder="1" applyAlignment="1">
      <alignment horizontal="center" vertical="center"/>
    </xf>
    <xf numFmtId="3" fontId="38" fillId="0" borderId="0" xfId="0" applyNumberFormat="1" applyFont="1" applyAlignment="1">
      <alignment horizontal="center" vertical="center"/>
    </xf>
    <xf numFmtId="38" fontId="106" fillId="0" borderId="0" xfId="0" applyNumberFormat="1" applyFont="1" applyAlignment="1">
      <alignment horizontal="center" vertical="center"/>
    </xf>
    <xf numFmtId="38" fontId="44" fillId="0" borderId="0" xfId="0" applyNumberFormat="1" applyFont="1" applyAlignment="1">
      <alignment horizontal="center" vertical="center"/>
    </xf>
    <xf numFmtId="38" fontId="38" fillId="0" borderId="0" xfId="0" applyNumberFormat="1" applyFont="1"/>
    <xf numFmtId="9" fontId="14" fillId="0" borderId="0" xfId="1" applyFont="1" applyFill="1" applyAlignment="1">
      <alignment horizontal="center" vertical="center"/>
    </xf>
    <xf numFmtId="9" fontId="12" fillId="0" borderId="0" xfId="1" applyFont="1" applyFill="1" applyAlignment="1">
      <alignment horizontal="center" vertical="center"/>
    </xf>
    <xf numFmtId="0" fontId="40" fillId="0" borderId="0" xfId="0" quotePrefix="1" applyFont="1"/>
    <xf numFmtId="38" fontId="40" fillId="0" borderId="1" xfId="0" applyNumberFormat="1" applyFont="1" applyBorder="1" applyAlignment="1">
      <alignment horizontal="center" vertical="center"/>
    </xf>
    <xf numFmtId="9" fontId="44" fillId="0" borderId="0" xfId="1" applyFont="1" applyFill="1" applyAlignment="1">
      <alignment horizontal="center" vertical="center"/>
    </xf>
    <xf numFmtId="9" fontId="95" fillId="0" borderId="0" xfId="1" applyFont="1" applyFill="1" applyAlignment="1">
      <alignment horizontal="center" vertical="center"/>
    </xf>
    <xf numFmtId="9" fontId="40" fillId="0" borderId="0" xfId="1" applyFont="1" applyFill="1" applyAlignment="1">
      <alignment horizontal="center" vertical="center"/>
    </xf>
    <xf numFmtId="38" fontId="82" fillId="0" borderId="0" xfId="0" applyNumberFormat="1" applyFont="1" applyAlignment="1">
      <alignment horizontal="center" vertical="center"/>
    </xf>
    <xf numFmtId="38" fontId="16" fillId="0" borderId="0" xfId="0" applyNumberFormat="1" applyFont="1" applyAlignment="1">
      <alignment horizontal="center" vertical="center"/>
    </xf>
    <xf numFmtId="38" fontId="16" fillId="0" borderId="0" xfId="0" applyNumberFormat="1" applyFont="1"/>
    <xf numFmtId="164" fontId="82" fillId="0" borderId="0" xfId="1" applyNumberFormat="1" applyFont="1" applyFill="1" applyAlignment="1">
      <alignment horizontal="center" vertical="center"/>
    </xf>
    <xf numFmtId="0" fontId="16" fillId="0" borderId="0" xfId="0" applyFont="1" applyAlignment="1">
      <alignment horizontal="center"/>
    </xf>
    <xf numFmtId="0" fontId="114" fillId="0" borderId="0" xfId="0" applyFont="1"/>
    <xf numFmtId="0" fontId="115" fillId="0" borderId="0" xfId="0" applyFont="1"/>
    <xf numFmtId="38" fontId="65" fillId="0" borderId="0" xfId="0" applyNumberFormat="1" applyFont="1" applyAlignment="1">
      <alignment horizontal="center" vertical="center"/>
    </xf>
    <xf numFmtId="38" fontId="114" fillId="0" borderId="0" xfId="0" applyNumberFormat="1" applyFont="1" applyAlignment="1">
      <alignment horizontal="center" vertical="center"/>
    </xf>
    <xf numFmtId="38" fontId="114" fillId="0" borderId="0" xfId="0" applyNumberFormat="1" applyFont="1"/>
    <xf numFmtId="3" fontId="38" fillId="0" borderId="0" xfId="0" quotePrefix="1" applyNumberFormat="1" applyFont="1"/>
    <xf numFmtId="9" fontId="38" fillId="0" borderId="0" xfId="1" applyFont="1" applyFill="1" applyAlignment="1">
      <alignment horizontal="center" vertical="center"/>
    </xf>
    <xf numFmtId="38" fontId="44" fillId="0" borderId="0" xfId="0" applyNumberFormat="1" applyFont="1"/>
    <xf numFmtId="38" fontId="106" fillId="0" borderId="0" xfId="3" applyNumberFormat="1" applyFont="1" applyFill="1" applyAlignment="1">
      <alignment horizontal="center" vertical="center"/>
    </xf>
    <xf numFmtId="38" fontId="44" fillId="0" borderId="0" xfId="3" applyNumberFormat="1" applyFont="1" applyFill="1" applyAlignment="1">
      <alignment horizontal="center" vertical="center"/>
    </xf>
    <xf numFmtId="0" fontId="108" fillId="0" borderId="0" xfId="0" applyFont="1"/>
    <xf numFmtId="38" fontId="55" fillId="0" borderId="0" xfId="0" applyNumberFormat="1" applyFont="1" applyAlignment="1">
      <alignment vertical="center"/>
    </xf>
    <xf numFmtId="0" fontId="40" fillId="0" borderId="0" xfId="0" applyFont="1" applyAlignment="1">
      <alignment horizontal="right"/>
    </xf>
    <xf numFmtId="9" fontId="40" fillId="0" borderId="0" xfId="1" applyFont="1" applyAlignment="1">
      <alignment horizontal="center" vertical="center"/>
    </xf>
    <xf numFmtId="0" fontId="116" fillId="0" borderId="0" xfId="0" applyFont="1" applyAlignment="1">
      <alignment vertical="center"/>
    </xf>
    <xf numFmtId="0" fontId="117" fillId="0" borderId="0" xfId="0" applyFont="1" applyAlignment="1">
      <alignment vertical="center"/>
    </xf>
    <xf numFmtId="0" fontId="117" fillId="0" borderId="0" xfId="0" applyFont="1" applyAlignment="1">
      <alignment horizontal="center" vertical="center"/>
    </xf>
    <xf numFmtId="0" fontId="117" fillId="0" borderId="0" xfId="0" applyFont="1"/>
  </cellXfs>
  <cellStyles count="21">
    <cellStyle name="Comma" xfId="3" builtinId="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Hyperlink" xfId="2" builtinId="8"/>
    <cellStyle name="Normal" xfId="0" builtinId="0"/>
    <cellStyle name="Percent" xfId="1" builtinId="5"/>
  </cellStyles>
  <dxfs count="0"/>
  <tableStyles count="0" defaultTableStyle="TableStyleMedium9" defaultPivotStyle="PivotStyleLight16"/>
  <colors>
    <mruColors>
      <color rgb="FF189C34"/>
      <color rgb="FFF8E1A6"/>
      <color rgb="FFFFFFCC"/>
      <color rgb="FFE46C0A"/>
      <color rgb="FFFFCCFF"/>
      <color rgb="FFFF66CC"/>
      <color rgb="FF0033CC"/>
      <color rgb="FFE7FFE7"/>
      <color rgb="FF66FF33"/>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Sales of A,B &amp; C's</a:t>
            </a:r>
          </a:p>
        </c:rich>
      </c:tx>
      <c:layout>
        <c:manualLayout>
          <c:xMode val="edge"/>
          <c:yMode val="edge"/>
          <c:x val="0.18000163232480876"/>
          <c:y val="4.1240001509526862E-3"/>
        </c:manualLayout>
      </c:layout>
      <c:overlay val="1"/>
    </c:title>
    <c:autoTitleDeleted val="0"/>
    <c:plotArea>
      <c:layout>
        <c:manualLayout>
          <c:layoutTarget val="inner"/>
          <c:xMode val="edge"/>
          <c:yMode val="edge"/>
          <c:x val="0.18394115334270553"/>
          <c:y val="0.15357343010059701"/>
          <c:w val="0.58371282183141593"/>
          <c:h val="0.61953123379183006"/>
        </c:manualLayout>
      </c:layout>
      <c:barChart>
        <c:barDir val="col"/>
        <c:grouping val="stacked"/>
        <c:varyColors val="0"/>
        <c:ser>
          <c:idx val="1"/>
          <c:order val="0"/>
          <c:tx>
            <c:strRef>
              <c:f>'Sales &amp; Revenue'!$A$36</c:f>
              <c:strCache>
                <c:ptCount val="1"/>
                <c:pt idx="0">
                  <c:v>Product C sold</c:v>
                </c:pt>
              </c:strCache>
            </c:strRef>
          </c:tx>
          <c:spPr>
            <a:solidFill>
              <a:schemeClr val="accent3">
                <a:lumMod val="50000"/>
              </a:schemeClr>
            </a:solidFill>
            <a:ln>
              <a:noFill/>
            </a:ln>
          </c:spPr>
          <c:invertIfNegative val="0"/>
          <c:cat>
            <c:numRef>
              <c:f>'Sales &amp; Revenue'!$D$25:$O$25</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'Sales &amp; Revenue'!$D$36:$O$36</c:f>
              <c:numCache>
                <c:formatCode>#,##0</c:formatCode>
                <c:ptCount val="12"/>
                <c:pt idx="0">
                  <c:v>5000</c:v>
                </c:pt>
                <c:pt idx="1">
                  <c:v>5500</c:v>
                </c:pt>
                <c:pt idx="2">
                  <c:v>6050.0000000000009</c:v>
                </c:pt>
                <c:pt idx="3">
                  <c:v>6655.0000000000018</c:v>
                </c:pt>
                <c:pt idx="4">
                  <c:v>7320.5000000000027</c:v>
                </c:pt>
                <c:pt idx="5">
                  <c:v>8052.5500000000038</c:v>
                </c:pt>
                <c:pt idx="6">
                  <c:v>8455.1775000000052</c:v>
                </c:pt>
                <c:pt idx="7">
                  <c:v>8708.832825000005</c:v>
                </c:pt>
                <c:pt idx="8">
                  <c:v>8970.0978097500047</c:v>
                </c:pt>
                <c:pt idx="9">
                  <c:v>9239.2007440425059</c:v>
                </c:pt>
              </c:numCache>
            </c:numRef>
          </c:val>
          <c:extLst>
            <c:ext xmlns:c16="http://schemas.microsoft.com/office/drawing/2014/chart" uri="{C3380CC4-5D6E-409C-BE32-E72D297353CC}">
              <c16:uniqueId val="{00000002-003E-4C0B-AA04-19224DF0D9D4}"/>
            </c:ext>
          </c:extLst>
        </c:ser>
        <c:ser>
          <c:idx val="0"/>
          <c:order val="1"/>
          <c:tx>
            <c:strRef>
              <c:f>'Sales &amp; Revenue'!$A$35</c:f>
              <c:strCache>
                <c:ptCount val="1"/>
                <c:pt idx="0">
                  <c:v>Product B sold</c:v>
                </c:pt>
              </c:strCache>
            </c:strRef>
          </c:tx>
          <c:spPr>
            <a:solidFill>
              <a:schemeClr val="accent3">
                <a:lumMod val="40000"/>
                <a:lumOff val="60000"/>
              </a:schemeClr>
            </a:solidFill>
            <a:ln w="76200">
              <a:noFill/>
            </a:ln>
          </c:spPr>
          <c:invertIfNegative val="0"/>
          <c:cat>
            <c:numRef>
              <c:f>'Sales &amp; Revenue'!$D$25:$O$25</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'Sales &amp; Revenue'!$D$35:$O$35</c:f>
              <c:numCache>
                <c:formatCode>#,##0</c:formatCode>
                <c:ptCount val="12"/>
                <c:pt idx="0">
                  <c:v>15000</c:v>
                </c:pt>
                <c:pt idx="1">
                  <c:v>15750</c:v>
                </c:pt>
                <c:pt idx="2">
                  <c:v>17325</c:v>
                </c:pt>
                <c:pt idx="3">
                  <c:v>20790</c:v>
                </c:pt>
                <c:pt idx="4">
                  <c:v>24948</c:v>
                </c:pt>
                <c:pt idx="5">
                  <c:v>29937.599999999999</c:v>
                </c:pt>
                <c:pt idx="6">
                  <c:v>32931.360000000001</c:v>
                </c:pt>
                <c:pt idx="7">
                  <c:v>33919.300800000005</c:v>
                </c:pt>
                <c:pt idx="8">
                  <c:v>34936.879824000003</c:v>
                </c:pt>
                <c:pt idx="9">
                  <c:v>35984.986218720005</c:v>
                </c:pt>
              </c:numCache>
            </c:numRef>
          </c:val>
          <c:extLst>
            <c:ext xmlns:c16="http://schemas.microsoft.com/office/drawing/2014/chart" uri="{C3380CC4-5D6E-409C-BE32-E72D297353CC}">
              <c16:uniqueId val="{00000000-003E-4C0B-AA04-19224DF0D9D4}"/>
            </c:ext>
          </c:extLst>
        </c:ser>
        <c:ser>
          <c:idx val="2"/>
          <c:order val="2"/>
          <c:tx>
            <c:strRef>
              <c:f>'Sales &amp; Revenue'!$A$34</c:f>
              <c:strCache>
                <c:ptCount val="1"/>
                <c:pt idx="0">
                  <c:v>Product A Sold</c:v>
                </c:pt>
              </c:strCache>
            </c:strRef>
          </c:tx>
          <c:spPr>
            <a:solidFill>
              <a:schemeClr val="accent3">
                <a:lumMod val="75000"/>
              </a:schemeClr>
            </a:solidFill>
            <a:ln>
              <a:noFill/>
            </a:ln>
          </c:spPr>
          <c:invertIfNegative val="0"/>
          <c:cat>
            <c:numRef>
              <c:f>'Sales &amp; Revenue'!$D$25:$O$25</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'Sales &amp; Revenue'!$D$34:$O$34</c:f>
              <c:numCache>
                <c:formatCode>#,##0</c:formatCode>
                <c:ptCount val="12"/>
                <c:pt idx="0">
                  <c:v>20000</c:v>
                </c:pt>
                <c:pt idx="1">
                  <c:v>21000</c:v>
                </c:pt>
                <c:pt idx="2">
                  <c:v>23100.000000000004</c:v>
                </c:pt>
                <c:pt idx="3">
                  <c:v>27720.000000000004</c:v>
                </c:pt>
                <c:pt idx="4">
                  <c:v>36036.000000000007</c:v>
                </c:pt>
                <c:pt idx="5">
                  <c:v>46846.80000000001</c:v>
                </c:pt>
                <c:pt idx="6">
                  <c:v>53873.820000000007</c:v>
                </c:pt>
                <c:pt idx="7">
                  <c:v>55490.034600000006</c:v>
                </c:pt>
                <c:pt idx="8">
                  <c:v>57154.735638000006</c:v>
                </c:pt>
                <c:pt idx="9">
                  <c:v>58869.377707140004</c:v>
                </c:pt>
              </c:numCache>
            </c:numRef>
          </c:val>
          <c:extLst>
            <c:ext xmlns:c16="http://schemas.microsoft.com/office/drawing/2014/chart" uri="{C3380CC4-5D6E-409C-BE32-E72D297353CC}">
              <c16:uniqueId val="{00000001-003E-4C0B-AA04-19224DF0D9D4}"/>
            </c:ext>
          </c:extLst>
        </c:ser>
        <c:dLbls>
          <c:showLegendKey val="0"/>
          <c:showVal val="0"/>
          <c:showCatName val="0"/>
          <c:showSerName val="0"/>
          <c:showPercent val="0"/>
          <c:showBubbleSize val="0"/>
        </c:dLbls>
        <c:gapWidth val="6"/>
        <c:overlap val="100"/>
        <c:axId val="-2073613424"/>
        <c:axId val="-2118518384"/>
      </c:barChart>
      <c:lineChart>
        <c:grouping val="standard"/>
        <c:varyColors val="0"/>
        <c:ser>
          <c:idx val="3"/>
          <c:order val="3"/>
          <c:tx>
            <c:strRef>
              <c:f>'Sales &amp; Revenue'!$A$68</c:f>
              <c:strCache>
                <c:ptCount val="1"/>
                <c:pt idx="0">
                  <c:v>Sales outside the country</c:v>
                </c:pt>
              </c:strCache>
            </c:strRef>
          </c:tx>
          <c:spPr>
            <a:ln>
              <a:solidFill>
                <a:schemeClr val="tx1"/>
              </a:solidFill>
              <a:prstDash val="sysDash"/>
            </a:ln>
          </c:spPr>
          <c:marker>
            <c:symbol val="none"/>
          </c:marker>
          <c:cat>
            <c:numRef>
              <c:f>'Sales &amp; Revenue'!$D$25:$O$25</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'Sales &amp; Revenue'!$D$68:$O$68</c:f>
              <c:numCache>
                <c:formatCode>#,##0</c:formatCode>
                <c:ptCount val="12"/>
                <c:pt idx="0">
                  <c:v>0</c:v>
                </c:pt>
                <c:pt idx="1">
                  <c:v>4225</c:v>
                </c:pt>
                <c:pt idx="2">
                  <c:v>9295</c:v>
                </c:pt>
                <c:pt idx="3">
                  <c:v>27582.5</c:v>
                </c:pt>
                <c:pt idx="4">
                  <c:v>68304.500000000015</c:v>
                </c:pt>
                <c:pt idx="5">
                  <c:v>101804.34000000001</c:v>
                </c:pt>
                <c:pt idx="6">
                  <c:v>114312.42900000002</c:v>
                </c:pt>
                <c:pt idx="7">
                  <c:v>117741.80187000001</c:v>
                </c:pt>
                <c:pt idx="8">
                  <c:v>121274.05592610002</c:v>
                </c:pt>
                <c:pt idx="9">
                  <c:v>124912.27760388301</c:v>
                </c:pt>
                <c:pt idx="10">
                  <c:v>0</c:v>
                </c:pt>
                <c:pt idx="11">
                  <c:v>0</c:v>
                </c:pt>
              </c:numCache>
            </c:numRef>
          </c:val>
          <c:smooth val="0"/>
          <c:extLst>
            <c:ext xmlns:c16="http://schemas.microsoft.com/office/drawing/2014/chart" uri="{C3380CC4-5D6E-409C-BE32-E72D297353CC}">
              <c16:uniqueId val="{00000000-DB03-4DDD-9B87-4DFCA058B4F0}"/>
            </c:ext>
          </c:extLst>
        </c:ser>
        <c:dLbls>
          <c:showLegendKey val="0"/>
          <c:showVal val="0"/>
          <c:showCatName val="0"/>
          <c:showSerName val="0"/>
          <c:showPercent val="0"/>
          <c:showBubbleSize val="0"/>
        </c:dLbls>
        <c:marker val="1"/>
        <c:smooth val="0"/>
        <c:axId val="-2073613424"/>
        <c:axId val="-2118518384"/>
      </c:lineChart>
      <c:catAx>
        <c:axId val="-2073613424"/>
        <c:scaling>
          <c:orientation val="minMax"/>
        </c:scaling>
        <c:delete val="0"/>
        <c:axPos val="b"/>
        <c:numFmt formatCode="0" sourceLinked="1"/>
        <c:majorTickMark val="out"/>
        <c:minorTickMark val="none"/>
        <c:tickLblPos val="nextTo"/>
        <c:txPr>
          <a:bodyPr/>
          <a:lstStyle/>
          <a:p>
            <a:pPr>
              <a:defRPr sz="1000" b="1"/>
            </a:pPr>
            <a:endParaRPr lang="en-US"/>
          </a:p>
        </c:txPr>
        <c:crossAx val="-2118518384"/>
        <c:crosses val="autoZero"/>
        <c:auto val="1"/>
        <c:lblAlgn val="ctr"/>
        <c:lblOffset val="100"/>
        <c:noMultiLvlLbl val="0"/>
      </c:catAx>
      <c:valAx>
        <c:axId val="-2118518384"/>
        <c:scaling>
          <c:orientation val="minMax"/>
        </c:scaling>
        <c:delete val="0"/>
        <c:axPos val="l"/>
        <c:majorGridlines/>
        <c:title>
          <c:tx>
            <c:rich>
              <a:bodyPr rot="-5400000" vert="horz"/>
              <a:lstStyle/>
              <a:p>
                <a:pPr>
                  <a:defRPr sz="1200" b="1">
                    <a:solidFill>
                      <a:sysClr val="windowText" lastClr="000000"/>
                    </a:solidFill>
                  </a:defRPr>
                </a:pPr>
                <a:r>
                  <a:rPr lang="en-US" sz="1200" b="1">
                    <a:solidFill>
                      <a:sysClr val="windowText" lastClr="000000"/>
                    </a:solidFill>
                  </a:rPr>
                  <a:t>Units</a:t>
                </a:r>
              </a:p>
            </c:rich>
          </c:tx>
          <c:layout>
            <c:manualLayout>
              <c:xMode val="edge"/>
              <c:yMode val="edge"/>
              <c:x val="6.4587526125378051E-3"/>
              <c:y val="0.27815294288500236"/>
            </c:manualLayout>
          </c:layout>
          <c:overlay val="0"/>
        </c:title>
        <c:numFmt formatCode="#,##0" sourceLinked="1"/>
        <c:majorTickMark val="out"/>
        <c:minorTickMark val="none"/>
        <c:tickLblPos val="nextTo"/>
        <c:spPr>
          <a:ln>
            <a:solidFill>
              <a:schemeClr val="tx1"/>
            </a:solidFill>
          </a:ln>
        </c:spPr>
        <c:txPr>
          <a:bodyPr/>
          <a:lstStyle/>
          <a:p>
            <a:pPr>
              <a:defRPr sz="1050" b="1">
                <a:solidFill>
                  <a:sysClr val="windowText" lastClr="000000"/>
                </a:solidFill>
              </a:defRPr>
            </a:pPr>
            <a:endParaRPr lang="en-US"/>
          </a:p>
        </c:txPr>
        <c:crossAx val="-2073613424"/>
        <c:crosses val="autoZero"/>
        <c:crossBetween val="between"/>
      </c:valAx>
    </c:plotArea>
    <c:legend>
      <c:legendPos val="r"/>
      <c:layout>
        <c:manualLayout>
          <c:xMode val="edge"/>
          <c:yMode val="edge"/>
          <c:x val="0.71139971267037361"/>
          <c:y val="0.10638109167859588"/>
          <c:w val="0.2718254501137915"/>
          <c:h val="0.66867181178813706"/>
        </c:manualLayout>
      </c:layout>
      <c:overlay val="0"/>
      <c:txPr>
        <a:bodyPr/>
        <a:lstStyle/>
        <a:p>
          <a:pPr>
            <a:defRPr sz="1000" b="1"/>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Pricing of A,B,C's, </a:t>
            </a:r>
            <a:r>
              <a:rPr lang="en-US" sz="1200" b="0"/>
              <a:t>grants and commissions</a:t>
            </a:r>
            <a:endParaRPr lang="en-US" sz="1400" b="0"/>
          </a:p>
        </c:rich>
      </c:tx>
      <c:layout>
        <c:manualLayout>
          <c:xMode val="edge"/>
          <c:yMode val="edge"/>
          <c:x val="0.14885648942252699"/>
          <c:y val="2.2411371113822002E-3"/>
        </c:manualLayout>
      </c:layout>
      <c:overlay val="1"/>
    </c:title>
    <c:autoTitleDeleted val="0"/>
    <c:plotArea>
      <c:layout>
        <c:manualLayout>
          <c:layoutTarget val="inner"/>
          <c:xMode val="edge"/>
          <c:yMode val="edge"/>
          <c:x val="0.10906316218966286"/>
          <c:y val="0.16342857010831399"/>
          <c:w val="0.47383809075378353"/>
          <c:h val="0.64330443382892966"/>
        </c:manualLayout>
      </c:layout>
      <c:lineChart>
        <c:grouping val="standard"/>
        <c:varyColors val="0"/>
        <c:ser>
          <c:idx val="0"/>
          <c:order val="0"/>
          <c:tx>
            <c:strRef>
              <c:f>'Sales &amp; Revenue'!$A$47</c:f>
              <c:strCache>
                <c:ptCount val="1"/>
                <c:pt idx="0">
                  <c:v>Product A' - selling price</c:v>
                </c:pt>
              </c:strCache>
            </c:strRef>
          </c:tx>
          <c:spPr>
            <a:ln w="41275">
              <a:solidFill>
                <a:srgbClr val="189C34"/>
              </a:solidFill>
            </a:ln>
          </c:spPr>
          <c:marker>
            <c:symbol val="none"/>
          </c:marker>
          <c:cat>
            <c:numRef>
              <c:f>'Sales &amp; Revenue'!$D$25:$O$25</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'Sales &amp; Revenue'!$D$47:$O$47</c:f>
              <c:numCache>
                <c:formatCode>#,##0</c:formatCode>
                <c:ptCount val="12"/>
                <c:pt idx="0">
                  <c:v>38</c:v>
                </c:pt>
                <c:pt idx="1">
                  <c:v>37.24</c:v>
                </c:pt>
                <c:pt idx="2">
                  <c:v>36.495200000000004</c:v>
                </c:pt>
                <c:pt idx="3">
                  <c:v>35.765296000000006</c:v>
                </c:pt>
                <c:pt idx="4">
                  <c:v>35.049990080000008</c:v>
                </c:pt>
                <c:pt idx="5">
                  <c:v>34.348990278400009</c:v>
                </c:pt>
                <c:pt idx="6">
                  <c:v>33.662010472832009</c:v>
                </c:pt>
                <c:pt idx="7">
                  <c:v>32.988770263375365</c:v>
                </c:pt>
                <c:pt idx="8">
                  <c:v>32.328994858107855</c:v>
                </c:pt>
                <c:pt idx="9">
                  <c:v>31.682414960945696</c:v>
                </c:pt>
                <c:pt idx="10">
                  <c:v>31.048766661726781</c:v>
                </c:pt>
                <c:pt idx="11">
                  <c:v>30.427791328492244</c:v>
                </c:pt>
              </c:numCache>
            </c:numRef>
          </c:val>
          <c:smooth val="0"/>
          <c:extLst>
            <c:ext xmlns:c16="http://schemas.microsoft.com/office/drawing/2014/chart" uri="{C3380CC4-5D6E-409C-BE32-E72D297353CC}">
              <c16:uniqueId val="{00000000-CDE5-4A95-8555-6186C2000DAA}"/>
            </c:ext>
          </c:extLst>
        </c:ser>
        <c:ser>
          <c:idx val="1"/>
          <c:order val="1"/>
          <c:tx>
            <c:strRef>
              <c:f>'Sales &amp; Revenue'!$A$48</c:f>
              <c:strCache>
                <c:ptCount val="1"/>
                <c:pt idx="0">
                  <c:v>Product B' - selling price</c:v>
                </c:pt>
              </c:strCache>
            </c:strRef>
          </c:tx>
          <c:spPr>
            <a:ln w="57150">
              <a:solidFill>
                <a:schemeClr val="accent3">
                  <a:lumMod val="40000"/>
                  <a:lumOff val="60000"/>
                </a:schemeClr>
              </a:solidFill>
            </a:ln>
          </c:spPr>
          <c:marker>
            <c:symbol val="none"/>
          </c:marker>
          <c:cat>
            <c:numRef>
              <c:f>'Sales &amp; Revenue'!$D$25:$O$25</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'Sales &amp; Revenue'!$D$48:$O$48</c:f>
              <c:numCache>
                <c:formatCode>#,##0</c:formatCode>
                <c:ptCount val="12"/>
                <c:pt idx="0">
                  <c:v>48</c:v>
                </c:pt>
                <c:pt idx="1">
                  <c:v>47.04</c:v>
                </c:pt>
                <c:pt idx="2">
                  <c:v>46.099199999999996</c:v>
                </c:pt>
                <c:pt idx="3">
                  <c:v>45.177215999999994</c:v>
                </c:pt>
                <c:pt idx="4">
                  <c:v>44.273671679999993</c:v>
                </c:pt>
                <c:pt idx="5">
                  <c:v>43.388198246399995</c:v>
                </c:pt>
                <c:pt idx="6">
                  <c:v>42.520434281471992</c:v>
                </c:pt>
                <c:pt idx="7">
                  <c:v>41.670025595842553</c:v>
                </c:pt>
                <c:pt idx="8">
                  <c:v>40.836625083925703</c:v>
                </c:pt>
                <c:pt idx="9">
                  <c:v>40.019892582247188</c:v>
                </c:pt>
                <c:pt idx="10">
                  <c:v>39.219494730602243</c:v>
                </c:pt>
                <c:pt idx="11">
                  <c:v>38.435104835990195</c:v>
                </c:pt>
              </c:numCache>
            </c:numRef>
          </c:val>
          <c:smooth val="0"/>
          <c:extLst>
            <c:ext xmlns:c16="http://schemas.microsoft.com/office/drawing/2014/chart" uri="{C3380CC4-5D6E-409C-BE32-E72D297353CC}">
              <c16:uniqueId val="{00000003-CDE5-4A95-8555-6186C2000DAA}"/>
            </c:ext>
          </c:extLst>
        </c:ser>
        <c:ser>
          <c:idx val="2"/>
          <c:order val="2"/>
          <c:tx>
            <c:strRef>
              <c:f>'Sales &amp; Revenue'!$A$49</c:f>
              <c:strCache>
                <c:ptCount val="1"/>
                <c:pt idx="0">
                  <c:v>Product C' - selling price</c:v>
                </c:pt>
              </c:strCache>
            </c:strRef>
          </c:tx>
          <c:spPr>
            <a:ln w="60325">
              <a:solidFill>
                <a:schemeClr val="accent3">
                  <a:lumMod val="50000"/>
                </a:schemeClr>
              </a:solidFill>
            </a:ln>
          </c:spPr>
          <c:marker>
            <c:symbol val="none"/>
          </c:marker>
          <c:cat>
            <c:numRef>
              <c:f>'Sales &amp; Revenue'!$D$25:$O$25</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'Sales &amp; Revenue'!$D$49:$O$49</c:f>
              <c:numCache>
                <c:formatCode>#,##0</c:formatCode>
                <c:ptCount val="12"/>
                <c:pt idx="0">
                  <c:v>58</c:v>
                </c:pt>
                <c:pt idx="1">
                  <c:v>56.839999999999996</c:v>
                </c:pt>
                <c:pt idx="2">
                  <c:v>55.703199999999995</c:v>
                </c:pt>
                <c:pt idx="3">
                  <c:v>54.589135999999996</c:v>
                </c:pt>
                <c:pt idx="4">
                  <c:v>53.497353279999999</c:v>
                </c:pt>
                <c:pt idx="5">
                  <c:v>52.427406214400001</c:v>
                </c:pt>
                <c:pt idx="6">
                  <c:v>51.378858090111997</c:v>
                </c:pt>
                <c:pt idx="7">
                  <c:v>50.351280928309755</c:v>
                </c:pt>
                <c:pt idx="8">
                  <c:v>49.344255309743559</c:v>
                </c:pt>
                <c:pt idx="9">
                  <c:v>48.35737020354869</c:v>
                </c:pt>
                <c:pt idx="10">
                  <c:v>47.390222799477712</c:v>
                </c:pt>
                <c:pt idx="11">
                  <c:v>46.442418343488157</c:v>
                </c:pt>
              </c:numCache>
            </c:numRef>
          </c:val>
          <c:smooth val="0"/>
          <c:extLst>
            <c:ext xmlns:c16="http://schemas.microsoft.com/office/drawing/2014/chart" uri="{C3380CC4-5D6E-409C-BE32-E72D297353CC}">
              <c16:uniqueId val="{00000004-CDE5-4A95-8555-6186C2000DAA}"/>
            </c:ext>
          </c:extLst>
        </c:ser>
        <c:ser>
          <c:idx val="3"/>
          <c:order val="3"/>
          <c:tx>
            <c:strRef>
              <c:f>'Sales &amp; Revenue'!$A$60</c:f>
              <c:strCache>
                <c:ptCount val="1"/>
                <c:pt idx="0">
                  <c:v>Cash grants from results based financing</c:v>
                </c:pt>
              </c:strCache>
            </c:strRef>
          </c:tx>
          <c:spPr>
            <a:ln w="50800">
              <a:solidFill>
                <a:srgbClr val="0033CC"/>
              </a:solidFill>
              <a:prstDash val="solid"/>
            </a:ln>
          </c:spPr>
          <c:marker>
            <c:symbol val="none"/>
          </c:marker>
          <c:cat>
            <c:numRef>
              <c:f>'Sales &amp; Revenue'!$D$25:$O$25</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'Sales &amp; Revenue'!$D$60:$O$60</c:f>
              <c:numCache>
                <c:formatCode>#,##0</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smooth val="0"/>
          <c:extLst>
            <c:ext xmlns:c16="http://schemas.microsoft.com/office/drawing/2014/chart" uri="{C3380CC4-5D6E-409C-BE32-E72D297353CC}">
              <c16:uniqueId val="{00000000-7E2D-4DE1-88EA-7C4556A7CA62}"/>
            </c:ext>
          </c:extLst>
        </c:ser>
        <c:dLbls>
          <c:showLegendKey val="0"/>
          <c:showVal val="0"/>
          <c:showCatName val="0"/>
          <c:showSerName val="0"/>
          <c:showPercent val="0"/>
          <c:showBubbleSize val="0"/>
        </c:dLbls>
        <c:smooth val="0"/>
        <c:axId val="-2139685040"/>
        <c:axId val="-2122286416"/>
      </c:lineChart>
      <c:catAx>
        <c:axId val="-2139685040"/>
        <c:scaling>
          <c:orientation val="minMax"/>
        </c:scaling>
        <c:delete val="0"/>
        <c:axPos val="b"/>
        <c:numFmt formatCode="0" sourceLinked="1"/>
        <c:majorTickMark val="out"/>
        <c:minorTickMark val="none"/>
        <c:tickLblPos val="nextTo"/>
        <c:txPr>
          <a:bodyPr/>
          <a:lstStyle/>
          <a:p>
            <a:pPr>
              <a:defRPr sz="1000" b="1"/>
            </a:pPr>
            <a:endParaRPr lang="en-US"/>
          </a:p>
        </c:txPr>
        <c:crossAx val="-2122286416"/>
        <c:crosses val="autoZero"/>
        <c:auto val="1"/>
        <c:lblAlgn val="ctr"/>
        <c:lblOffset val="100"/>
        <c:noMultiLvlLbl val="0"/>
      </c:catAx>
      <c:valAx>
        <c:axId val="-2122286416"/>
        <c:scaling>
          <c:orientation val="minMax"/>
        </c:scaling>
        <c:delete val="0"/>
        <c:axPos val="l"/>
        <c:majorGridlines>
          <c:spPr>
            <a:ln>
              <a:prstDash val="sysDot"/>
            </a:ln>
          </c:spPr>
        </c:majorGridlines>
        <c:title>
          <c:tx>
            <c:rich>
              <a:bodyPr rot="-5400000" vert="horz"/>
              <a:lstStyle/>
              <a:p>
                <a:pPr>
                  <a:defRPr sz="1200" b="1">
                    <a:solidFill>
                      <a:sysClr val="windowText" lastClr="000000"/>
                    </a:solidFill>
                  </a:defRPr>
                </a:pPr>
                <a:r>
                  <a:rPr lang="en-US" sz="1200" b="1">
                    <a:solidFill>
                      <a:sysClr val="windowText" lastClr="000000"/>
                    </a:solidFill>
                  </a:rPr>
                  <a:t>US$ Real</a:t>
                </a:r>
              </a:p>
            </c:rich>
          </c:tx>
          <c:layout>
            <c:manualLayout>
              <c:xMode val="edge"/>
              <c:yMode val="edge"/>
              <c:x val="3.5854951357307354E-3"/>
              <c:y val="0.25188455513909647"/>
            </c:manualLayout>
          </c:layout>
          <c:overlay val="0"/>
          <c:spPr>
            <a:solidFill>
              <a:sysClr val="window" lastClr="FFFFFF"/>
            </a:solidFill>
          </c:spPr>
        </c:title>
        <c:numFmt formatCode="#,##0" sourceLinked="1"/>
        <c:majorTickMark val="out"/>
        <c:minorTickMark val="none"/>
        <c:tickLblPos val="nextTo"/>
        <c:txPr>
          <a:bodyPr/>
          <a:lstStyle/>
          <a:p>
            <a:pPr>
              <a:defRPr sz="1000" b="1">
                <a:solidFill>
                  <a:sysClr val="windowText" lastClr="000000"/>
                </a:solidFill>
              </a:defRPr>
            </a:pPr>
            <a:endParaRPr lang="en-US"/>
          </a:p>
        </c:txPr>
        <c:crossAx val="-2139685040"/>
        <c:crosses val="autoZero"/>
        <c:crossBetween val="between"/>
      </c:valAx>
      <c:spPr>
        <a:ln>
          <a:solidFill>
            <a:srgbClr val="0033CC"/>
          </a:solidFill>
          <a:prstDash val="sysDash"/>
        </a:ln>
      </c:spPr>
    </c:plotArea>
    <c:legend>
      <c:legendPos val="r"/>
      <c:layout>
        <c:manualLayout>
          <c:xMode val="edge"/>
          <c:yMode val="edge"/>
          <c:x val="0.56177464642903807"/>
          <c:y val="0.13714871051155691"/>
          <c:w val="0.42797259686377559"/>
          <c:h val="0.86285128948844314"/>
        </c:manualLayout>
      </c:layout>
      <c:overlay val="0"/>
      <c:txPr>
        <a:bodyPr/>
        <a:lstStyle/>
        <a:p>
          <a:pPr>
            <a:defRPr sz="1000" b="1"/>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Revenue</a:t>
            </a:r>
            <a:r>
              <a:rPr lang="en-US" sz="1400" baseline="0"/>
              <a:t> </a:t>
            </a:r>
            <a:endParaRPr lang="en-US" sz="1400"/>
          </a:p>
        </c:rich>
      </c:tx>
      <c:layout>
        <c:manualLayout>
          <c:xMode val="edge"/>
          <c:yMode val="edge"/>
          <c:x val="0.20310483674034199"/>
          <c:y val="4.3168167710161749E-2"/>
        </c:manualLayout>
      </c:layout>
      <c:overlay val="1"/>
    </c:title>
    <c:autoTitleDeleted val="0"/>
    <c:plotArea>
      <c:layout>
        <c:manualLayout>
          <c:layoutTarget val="inner"/>
          <c:xMode val="edge"/>
          <c:yMode val="edge"/>
          <c:x val="0.14642036981725762"/>
          <c:y val="0.18153881974430613"/>
          <c:w val="0.46874180912064517"/>
          <c:h val="0.59837397341461362"/>
        </c:manualLayout>
      </c:layout>
      <c:barChart>
        <c:barDir val="col"/>
        <c:grouping val="stacked"/>
        <c:varyColors val="0"/>
        <c:ser>
          <c:idx val="1"/>
          <c:order val="0"/>
          <c:tx>
            <c:strRef>
              <c:f>'Sales &amp; Revenue'!$A$53</c:f>
              <c:strCache>
                <c:ptCount val="1"/>
                <c:pt idx="0">
                  <c:v>Product C revenue</c:v>
                </c:pt>
              </c:strCache>
            </c:strRef>
          </c:tx>
          <c:spPr>
            <a:solidFill>
              <a:schemeClr val="accent3">
                <a:lumMod val="50000"/>
              </a:schemeClr>
            </a:solidFill>
            <a:ln>
              <a:noFill/>
            </a:ln>
          </c:spPr>
          <c:invertIfNegative val="0"/>
          <c:cat>
            <c:numRef>
              <c:f>'Sales &amp; Revenue'!$D$25:$O$25</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'Sales &amp; Revenue'!$D$53:$O$53</c:f>
              <c:numCache>
                <c:formatCode>#,##0</c:formatCode>
                <c:ptCount val="12"/>
                <c:pt idx="0">
                  <c:v>290</c:v>
                </c:pt>
                <c:pt idx="1">
                  <c:v>312.62</c:v>
                </c:pt>
                <c:pt idx="2">
                  <c:v>337.00436000000002</c:v>
                </c:pt>
                <c:pt idx="3">
                  <c:v>363.29070008000008</c:v>
                </c:pt>
                <c:pt idx="4">
                  <c:v>391.62737468624016</c:v>
                </c:pt>
                <c:pt idx="5">
                  <c:v>422.1743099117669</c:v>
                </c:pt>
                <c:pt idx="6">
                  <c:v>434.41736489920817</c:v>
                </c:pt>
                <c:pt idx="7">
                  <c:v>438.50088812926072</c:v>
                </c:pt>
                <c:pt idx="8">
                  <c:v>442.62279647767571</c:v>
                </c:pt>
                <c:pt idx="9">
                  <c:v>446.78345076456594</c:v>
                </c:pt>
                <c:pt idx="10">
                  <c:v>0</c:v>
                </c:pt>
                <c:pt idx="11">
                  <c:v>0</c:v>
                </c:pt>
              </c:numCache>
            </c:numRef>
          </c:val>
          <c:extLst>
            <c:ext xmlns:c16="http://schemas.microsoft.com/office/drawing/2014/chart" uri="{C3380CC4-5D6E-409C-BE32-E72D297353CC}">
              <c16:uniqueId val="{00000002-D289-4FAC-AF43-0AD08432F578}"/>
            </c:ext>
          </c:extLst>
        </c:ser>
        <c:ser>
          <c:idx val="0"/>
          <c:order val="1"/>
          <c:tx>
            <c:strRef>
              <c:f>'Sales &amp; Revenue'!$A$52</c:f>
              <c:strCache>
                <c:ptCount val="1"/>
                <c:pt idx="0">
                  <c:v>Product B revenue</c:v>
                </c:pt>
              </c:strCache>
            </c:strRef>
          </c:tx>
          <c:spPr>
            <a:solidFill>
              <a:schemeClr val="accent3">
                <a:lumMod val="40000"/>
                <a:lumOff val="60000"/>
              </a:schemeClr>
            </a:solidFill>
            <a:ln w="76200">
              <a:noFill/>
            </a:ln>
          </c:spPr>
          <c:invertIfNegative val="0"/>
          <c:cat>
            <c:numRef>
              <c:f>'Sales &amp; Revenue'!$D$25:$O$25</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'Sales &amp; Revenue'!$D$52:$O$52</c:f>
              <c:numCache>
                <c:formatCode>#,##0</c:formatCode>
                <c:ptCount val="12"/>
                <c:pt idx="0">
                  <c:v>720</c:v>
                </c:pt>
                <c:pt idx="1">
                  <c:v>740.88</c:v>
                </c:pt>
                <c:pt idx="2">
                  <c:v>798.66863999999987</c:v>
                </c:pt>
                <c:pt idx="3">
                  <c:v>939.23432063999996</c:v>
                </c:pt>
                <c:pt idx="4">
                  <c:v>1104.5395610726398</c:v>
                </c:pt>
                <c:pt idx="5">
                  <c:v>1298.9385238214245</c:v>
                </c:pt>
                <c:pt idx="6">
                  <c:v>1400.2557286794956</c:v>
                </c:pt>
                <c:pt idx="7">
                  <c:v>1413.4181325290829</c:v>
                </c:pt>
                <c:pt idx="8">
                  <c:v>1426.7042629748564</c:v>
                </c:pt>
                <c:pt idx="9">
                  <c:v>1440.11528304682</c:v>
                </c:pt>
                <c:pt idx="10">
                  <c:v>0</c:v>
                </c:pt>
                <c:pt idx="11">
                  <c:v>0</c:v>
                </c:pt>
              </c:numCache>
            </c:numRef>
          </c:val>
          <c:extLst>
            <c:ext xmlns:c16="http://schemas.microsoft.com/office/drawing/2014/chart" uri="{C3380CC4-5D6E-409C-BE32-E72D297353CC}">
              <c16:uniqueId val="{00000000-D289-4FAC-AF43-0AD08432F578}"/>
            </c:ext>
          </c:extLst>
        </c:ser>
        <c:ser>
          <c:idx val="2"/>
          <c:order val="2"/>
          <c:tx>
            <c:strRef>
              <c:f>'Sales &amp; Revenue'!$A$51</c:f>
              <c:strCache>
                <c:ptCount val="1"/>
                <c:pt idx="0">
                  <c:v>Product A revenue</c:v>
                </c:pt>
              </c:strCache>
            </c:strRef>
          </c:tx>
          <c:spPr>
            <a:solidFill>
              <a:schemeClr val="accent3">
                <a:lumMod val="75000"/>
              </a:schemeClr>
            </a:solidFill>
            <a:ln>
              <a:noFill/>
            </a:ln>
          </c:spPr>
          <c:invertIfNegative val="0"/>
          <c:cat>
            <c:numRef>
              <c:f>'Sales &amp; Revenue'!$D$25:$O$25</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'Sales &amp; Revenue'!$D$51:$O$51</c:f>
              <c:numCache>
                <c:formatCode>#,##0</c:formatCode>
                <c:ptCount val="12"/>
                <c:pt idx="0">
                  <c:v>760</c:v>
                </c:pt>
                <c:pt idx="1">
                  <c:v>782.04</c:v>
                </c:pt>
                <c:pt idx="2">
                  <c:v>843.03912000000025</c:v>
                </c:pt>
                <c:pt idx="3">
                  <c:v>991.4140051200003</c:v>
                </c:pt>
                <c:pt idx="4">
                  <c:v>1263.0614425228807</c:v>
                </c:pt>
                <c:pt idx="5">
                  <c:v>1609.14027777415</c:v>
                </c:pt>
                <c:pt idx="6">
                  <c:v>1813.5010930514668</c:v>
                </c:pt>
                <c:pt idx="7">
                  <c:v>1830.5480033261504</c:v>
                </c:pt>
                <c:pt idx="8">
                  <c:v>1847.7551545574161</c:v>
                </c:pt>
                <c:pt idx="9">
                  <c:v>1865.1240530102555</c:v>
                </c:pt>
                <c:pt idx="10">
                  <c:v>0</c:v>
                </c:pt>
                <c:pt idx="11">
                  <c:v>0</c:v>
                </c:pt>
              </c:numCache>
            </c:numRef>
          </c:val>
          <c:extLst>
            <c:ext xmlns:c16="http://schemas.microsoft.com/office/drawing/2014/chart" uri="{C3380CC4-5D6E-409C-BE32-E72D297353CC}">
              <c16:uniqueId val="{00000001-D289-4FAC-AF43-0AD08432F578}"/>
            </c:ext>
          </c:extLst>
        </c:ser>
        <c:ser>
          <c:idx val="6"/>
          <c:order val="3"/>
          <c:tx>
            <c:strRef>
              <c:f>'Sales &amp; Revenue'!$A$61</c:f>
              <c:strCache>
                <c:ptCount val="1"/>
                <c:pt idx="0">
                  <c:v>Cash Grants from Results Based Financing </c:v>
                </c:pt>
              </c:strCache>
            </c:strRef>
          </c:tx>
          <c:spPr>
            <a:solidFill>
              <a:schemeClr val="accent6">
                <a:lumMod val="60000"/>
                <a:lumOff val="40000"/>
              </a:schemeClr>
            </a:solidFill>
          </c:spPr>
          <c:invertIfNegative val="0"/>
          <c:val>
            <c:numRef>
              <c:f>'Sales &amp; Revenue'!$D$61:$O$61</c:f>
              <c:numCache>
                <c:formatCode>#,##0</c:formatCode>
                <c:ptCount val="12"/>
                <c:pt idx="0">
                  <c:v>80</c:v>
                </c:pt>
                <c:pt idx="1">
                  <c:v>84.5</c:v>
                </c:pt>
                <c:pt idx="2">
                  <c:v>92.95</c:v>
                </c:pt>
                <c:pt idx="3">
                  <c:v>110.33</c:v>
                </c:pt>
                <c:pt idx="4">
                  <c:v>136.60900000000004</c:v>
                </c:pt>
                <c:pt idx="5">
                  <c:v>169.67390000000003</c:v>
                </c:pt>
                <c:pt idx="6">
                  <c:v>190.52071500000002</c:v>
                </c:pt>
                <c:pt idx="7">
                  <c:v>196.23633645000004</c:v>
                </c:pt>
                <c:pt idx="8">
                  <c:v>202.12342654350005</c:v>
                </c:pt>
                <c:pt idx="9">
                  <c:v>208.18712933980501</c:v>
                </c:pt>
                <c:pt idx="10">
                  <c:v>0</c:v>
                </c:pt>
                <c:pt idx="11">
                  <c:v>0</c:v>
                </c:pt>
              </c:numCache>
            </c:numRef>
          </c:val>
          <c:extLst>
            <c:ext xmlns:c16="http://schemas.microsoft.com/office/drawing/2014/chart" uri="{C3380CC4-5D6E-409C-BE32-E72D297353CC}">
              <c16:uniqueId val="{00000001-A882-4D93-8B18-B74C37DBB6F4}"/>
            </c:ext>
          </c:extLst>
        </c:ser>
        <c:ser>
          <c:idx val="5"/>
          <c:order val="4"/>
          <c:tx>
            <c:strRef>
              <c:f>'Sales &amp; Revenue'!$A$72</c:f>
              <c:strCache>
                <c:ptCount val="1"/>
                <c:pt idx="0">
                  <c:v>Commissions from international sales of ABC's</c:v>
                </c:pt>
              </c:strCache>
            </c:strRef>
          </c:tx>
          <c:spPr>
            <a:solidFill>
              <a:srgbClr val="FF3300"/>
            </a:solidFill>
          </c:spPr>
          <c:invertIfNegative val="0"/>
          <c:val>
            <c:numRef>
              <c:f>'Sales &amp; Revenue'!$D$72:$O$72</c:f>
              <c:numCache>
                <c:formatCode>#,##0</c:formatCode>
                <c:ptCount val="12"/>
                <c:pt idx="0">
                  <c:v>0</c:v>
                </c:pt>
                <c:pt idx="1">
                  <c:v>6.3375000000000004</c:v>
                </c:pt>
                <c:pt idx="2">
                  <c:v>13.942500000000001</c:v>
                </c:pt>
                <c:pt idx="3">
                  <c:v>41.373750000000001</c:v>
                </c:pt>
                <c:pt idx="4">
                  <c:v>102.45675000000003</c:v>
                </c:pt>
                <c:pt idx="5">
                  <c:v>152.70651000000001</c:v>
                </c:pt>
                <c:pt idx="6">
                  <c:v>171.46864350000004</c:v>
                </c:pt>
                <c:pt idx="7">
                  <c:v>176.612702805</c:v>
                </c:pt>
                <c:pt idx="8">
                  <c:v>181.91108388915004</c:v>
                </c:pt>
                <c:pt idx="9">
                  <c:v>187.36841640582452</c:v>
                </c:pt>
                <c:pt idx="10">
                  <c:v>0</c:v>
                </c:pt>
                <c:pt idx="11">
                  <c:v>0</c:v>
                </c:pt>
              </c:numCache>
            </c:numRef>
          </c:val>
          <c:extLst>
            <c:ext xmlns:c16="http://schemas.microsoft.com/office/drawing/2014/chart" uri="{C3380CC4-5D6E-409C-BE32-E72D297353CC}">
              <c16:uniqueId val="{00000000-A882-4D93-8B18-B74C37DBB6F4}"/>
            </c:ext>
          </c:extLst>
        </c:ser>
        <c:dLbls>
          <c:showLegendKey val="0"/>
          <c:showVal val="0"/>
          <c:showCatName val="0"/>
          <c:showSerName val="0"/>
          <c:showPercent val="0"/>
          <c:showBubbleSize val="0"/>
        </c:dLbls>
        <c:gapWidth val="5"/>
        <c:overlap val="100"/>
        <c:axId val="-2084933392"/>
        <c:axId val="-2139791296"/>
      </c:barChart>
      <c:lineChart>
        <c:grouping val="standard"/>
        <c:varyColors val="0"/>
        <c:ser>
          <c:idx val="3"/>
          <c:order val="5"/>
          <c:tx>
            <c:strRef>
              <c:f>'Sales &amp; Revenue'!$A$90</c:f>
              <c:strCache>
                <c:ptCount val="1"/>
                <c:pt idx="0">
                  <c:v>Total debtors - at end of year</c:v>
                </c:pt>
              </c:strCache>
            </c:strRef>
          </c:tx>
          <c:spPr>
            <a:ln>
              <a:solidFill>
                <a:schemeClr val="tx1"/>
              </a:solidFill>
            </a:ln>
          </c:spPr>
          <c:marker>
            <c:symbol val="none"/>
          </c:marker>
          <c:cat>
            <c:numRef>
              <c:f>'Sales &amp; Revenue'!$D$25:$O$25</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'Sales &amp; Revenue'!$D$90:$O$90</c:f>
              <c:numCache>
                <c:formatCode>#,##0</c:formatCode>
                <c:ptCount val="12"/>
                <c:pt idx="0">
                  <c:v>108</c:v>
                </c:pt>
                <c:pt idx="1">
                  <c:v>115.9474589041096</c:v>
                </c:pt>
                <c:pt idx="2">
                  <c:v>129.48848542465754</c:v>
                </c:pt>
                <c:pt idx="3">
                  <c:v>164.0463907171507</c:v>
                </c:pt>
                <c:pt idx="4">
                  <c:v>225.6937795779306</c:v>
                </c:pt>
                <c:pt idx="5">
                  <c:v>289.36755778384327</c:v>
                </c:pt>
                <c:pt idx="6">
                  <c:v>321.42052388581476</c:v>
                </c:pt>
                <c:pt idx="7">
                  <c:v>328.18058224506274</c:v>
                </c:pt>
                <c:pt idx="8">
                  <c:v>335.11634631592949</c:v>
                </c:pt>
                <c:pt idx="9">
                  <c:v>342.23283256699506</c:v>
                </c:pt>
                <c:pt idx="10">
                  <c:v>0</c:v>
                </c:pt>
                <c:pt idx="11">
                  <c:v>0</c:v>
                </c:pt>
              </c:numCache>
            </c:numRef>
          </c:val>
          <c:smooth val="0"/>
          <c:extLst>
            <c:ext xmlns:c16="http://schemas.microsoft.com/office/drawing/2014/chart" uri="{C3380CC4-5D6E-409C-BE32-E72D297353CC}">
              <c16:uniqueId val="{00000004-D289-4FAC-AF43-0AD08432F578}"/>
            </c:ext>
          </c:extLst>
        </c:ser>
        <c:dLbls>
          <c:showLegendKey val="0"/>
          <c:showVal val="0"/>
          <c:showCatName val="0"/>
          <c:showSerName val="0"/>
          <c:showPercent val="0"/>
          <c:showBubbleSize val="0"/>
        </c:dLbls>
        <c:marker val="1"/>
        <c:smooth val="0"/>
        <c:axId val="-2084933392"/>
        <c:axId val="-2139791296"/>
      </c:lineChart>
      <c:catAx>
        <c:axId val="-2084933392"/>
        <c:scaling>
          <c:orientation val="minMax"/>
        </c:scaling>
        <c:delete val="0"/>
        <c:axPos val="b"/>
        <c:numFmt formatCode="0" sourceLinked="1"/>
        <c:majorTickMark val="out"/>
        <c:minorTickMark val="none"/>
        <c:tickLblPos val="nextTo"/>
        <c:txPr>
          <a:bodyPr/>
          <a:lstStyle/>
          <a:p>
            <a:pPr>
              <a:defRPr sz="1000" b="0"/>
            </a:pPr>
            <a:endParaRPr lang="en-US"/>
          </a:p>
        </c:txPr>
        <c:crossAx val="-2139791296"/>
        <c:crosses val="autoZero"/>
        <c:auto val="1"/>
        <c:lblAlgn val="ctr"/>
        <c:lblOffset val="100"/>
        <c:noMultiLvlLbl val="0"/>
      </c:catAx>
      <c:valAx>
        <c:axId val="-2139791296"/>
        <c:scaling>
          <c:orientation val="minMax"/>
        </c:scaling>
        <c:delete val="0"/>
        <c:axPos val="l"/>
        <c:majorGridlines/>
        <c:title>
          <c:tx>
            <c:rich>
              <a:bodyPr rot="-5400000" vert="horz"/>
              <a:lstStyle/>
              <a:p>
                <a:pPr>
                  <a:defRPr sz="1200" b="1">
                    <a:solidFill>
                      <a:sysClr val="windowText" lastClr="000000"/>
                    </a:solidFill>
                  </a:defRPr>
                </a:pPr>
                <a:r>
                  <a:rPr lang="en-US" sz="1200" b="1">
                    <a:solidFill>
                      <a:sysClr val="windowText" lastClr="000000"/>
                    </a:solidFill>
                  </a:rPr>
                  <a:t>US$ 000  Real</a:t>
                </a:r>
              </a:p>
            </c:rich>
          </c:tx>
          <c:layout>
            <c:manualLayout>
              <c:xMode val="edge"/>
              <c:yMode val="edge"/>
              <c:x val="1.883768280528085E-3"/>
              <c:y val="0.26566971467276268"/>
            </c:manualLayout>
          </c:layout>
          <c:overlay val="0"/>
        </c:title>
        <c:numFmt formatCode="#,##0" sourceLinked="1"/>
        <c:majorTickMark val="out"/>
        <c:minorTickMark val="none"/>
        <c:tickLblPos val="nextTo"/>
        <c:spPr>
          <a:ln>
            <a:solidFill>
              <a:schemeClr val="tx1"/>
            </a:solidFill>
          </a:ln>
        </c:spPr>
        <c:txPr>
          <a:bodyPr/>
          <a:lstStyle/>
          <a:p>
            <a:pPr>
              <a:defRPr sz="1000" b="1">
                <a:solidFill>
                  <a:sysClr val="windowText" lastClr="000000"/>
                </a:solidFill>
              </a:defRPr>
            </a:pPr>
            <a:endParaRPr lang="en-US"/>
          </a:p>
        </c:txPr>
        <c:crossAx val="-2084933392"/>
        <c:crosses val="autoZero"/>
        <c:crossBetween val="between"/>
      </c:valAx>
    </c:plotArea>
    <c:legend>
      <c:legendPos val="r"/>
      <c:layout>
        <c:manualLayout>
          <c:xMode val="edge"/>
          <c:yMode val="edge"/>
          <c:x val="0.58407764863865341"/>
          <c:y val="4.1583245310799502E-2"/>
          <c:w val="0.40855836932832096"/>
          <c:h val="0.93632291931250533"/>
        </c:manualLayout>
      </c:layout>
      <c:overlay val="0"/>
      <c:txPr>
        <a:bodyPr/>
        <a:lstStyle/>
        <a:p>
          <a:pPr>
            <a:defRPr sz="1000" b="1"/>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Capital Costs &amp; Operating Costs</a:t>
            </a:r>
          </a:p>
        </c:rich>
      </c:tx>
      <c:layout>
        <c:manualLayout>
          <c:xMode val="edge"/>
          <c:yMode val="edge"/>
          <c:x val="0.128868051045993"/>
          <c:y val="3.22095112086399E-2"/>
        </c:manualLayout>
      </c:layout>
      <c:overlay val="1"/>
    </c:title>
    <c:autoTitleDeleted val="0"/>
    <c:plotArea>
      <c:layout>
        <c:manualLayout>
          <c:layoutTarget val="inner"/>
          <c:xMode val="edge"/>
          <c:yMode val="edge"/>
          <c:x val="9.8908655337410403E-2"/>
          <c:y val="0.15249321738823099"/>
          <c:w val="0.4615255148237834"/>
          <c:h val="0.62974449211491101"/>
        </c:manualLayout>
      </c:layout>
      <c:barChart>
        <c:barDir val="col"/>
        <c:grouping val="stacked"/>
        <c:varyColors val="0"/>
        <c:ser>
          <c:idx val="2"/>
          <c:order val="0"/>
          <c:tx>
            <c:strRef>
              <c:f>'Capital &amp; Operating Costs'!$A$128</c:f>
              <c:strCache>
                <c:ptCount val="1"/>
                <c:pt idx="0">
                  <c:v>3c i. Fixed Costs - People</c:v>
                </c:pt>
              </c:strCache>
            </c:strRef>
          </c:tx>
          <c:spPr>
            <a:solidFill>
              <a:srgbClr val="FFFFCC"/>
            </a:solidFill>
            <a:ln>
              <a:solidFill>
                <a:schemeClr val="accent6">
                  <a:lumMod val="60000"/>
                  <a:lumOff val="40000"/>
                </a:schemeClr>
              </a:solidFill>
            </a:ln>
          </c:spPr>
          <c:invertIfNegative val="0"/>
          <c:cat>
            <c:numRef>
              <c:f>'Capital &amp; Operating Costs'!$D$14:$O$14</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'Capital &amp; Operating Costs'!$D$128:$O$128</c:f>
              <c:numCache>
                <c:formatCode>#,##0</c:formatCode>
                <c:ptCount val="12"/>
                <c:pt idx="0">
                  <c:v>152.7174</c:v>
                </c:pt>
                <c:pt idx="1">
                  <c:v>152.7174</c:v>
                </c:pt>
                <c:pt idx="2">
                  <c:v>165.7174</c:v>
                </c:pt>
                <c:pt idx="3">
                  <c:v>178.7174</c:v>
                </c:pt>
                <c:pt idx="4">
                  <c:v>178.7174</c:v>
                </c:pt>
                <c:pt idx="5">
                  <c:v>178.7174</c:v>
                </c:pt>
                <c:pt idx="6">
                  <c:v>178.7174</c:v>
                </c:pt>
                <c:pt idx="7">
                  <c:v>178.7174</c:v>
                </c:pt>
                <c:pt idx="8">
                  <c:v>178.7174</c:v>
                </c:pt>
                <c:pt idx="9">
                  <c:v>178.7174</c:v>
                </c:pt>
                <c:pt idx="10">
                  <c:v>0</c:v>
                </c:pt>
                <c:pt idx="11">
                  <c:v>0</c:v>
                </c:pt>
              </c:numCache>
            </c:numRef>
          </c:val>
          <c:extLst>
            <c:ext xmlns:c16="http://schemas.microsoft.com/office/drawing/2014/chart" uri="{C3380CC4-5D6E-409C-BE32-E72D297353CC}">
              <c16:uniqueId val="{00000001-0FFF-4EA8-9A75-67DC13C5D98A}"/>
            </c:ext>
          </c:extLst>
        </c:ser>
        <c:ser>
          <c:idx val="5"/>
          <c:order val="1"/>
          <c:tx>
            <c:strRef>
              <c:f>'Capital &amp; Operating Costs'!$A$148</c:f>
              <c:strCache>
                <c:ptCount val="1"/>
                <c:pt idx="0">
                  <c:v>3c ii. Fixed Costs - general (non-people)</c:v>
                </c:pt>
              </c:strCache>
            </c:strRef>
          </c:tx>
          <c:spPr>
            <a:solidFill>
              <a:schemeClr val="accent6">
                <a:lumMod val="50000"/>
              </a:schemeClr>
            </a:solidFill>
            <a:ln>
              <a:noFill/>
            </a:ln>
          </c:spPr>
          <c:invertIfNegative val="0"/>
          <c:cat>
            <c:numRef>
              <c:f>'Capital &amp; Operating Costs'!$D$14:$O$14</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'Capital &amp; Operating Costs'!$D$148:$O$148</c:f>
              <c:numCache>
                <c:formatCode>#,##0</c:formatCode>
                <c:ptCount val="12"/>
                <c:pt idx="0">
                  <c:v>139.19999999999999</c:v>
                </c:pt>
                <c:pt idx="1">
                  <c:v>139.19999999999999</c:v>
                </c:pt>
                <c:pt idx="2">
                  <c:v>139.19999999999999</c:v>
                </c:pt>
                <c:pt idx="3">
                  <c:v>139.19999999999999</c:v>
                </c:pt>
                <c:pt idx="4">
                  <c:v>139.19999999999999</c:v>
                </c:pt>
                <c:pt idx="5">
                  <c:v>139.19999999999999</c:v>
                </c:pt>
                <c:pt idx="6">
                  <c:v>139.19999999999999</c:v>
                </c:pt>
                <c:pt idx="7">
                  <c:v>139.19999999999999</c:v>
                </c:pt>
                <c:pt idx="8">
                  <c:v>139.19999999999999</c:v>
                </c:pt>
                <c:pt idx="9">
                  <c:v>139.19999999999999</c:v>
                </c:pt>
                <c:pt idx="10">
                  <c:v>0</c:v>
                </c:pt>
                <c:pt idx="11">
                  <c:v>0</c:v>
                </c:pt>
              </c:numCache>
            </c:numRef>
          </c:val>
          <c:extLst>
            <c:ext xmlns:c16="http://schemas.microsoft.com/office/drawing/2014/chart" uri="{C3380CC4-5D6E-409C-BE32-E72D297353CC}">
              <c16:uniqueId val="{00000006-28F1-414F-B6B0-970B9B1D42C5}"/>
            </c:ext>
          </c:extLst>
        </c:ser>
        <c:ser>
          <c:idx val="1"/>
          <c:order val="2"/>
          <c:tx>
            <c:strRef>
              <c:f>'Capital &amp; Operating Costs'!$A$95</c:f>
              <c:strCache>
                <c:ptCount val="1"/>
                <c:pt idx="0">
                  <c:v>3a i.  Cost of purchasing ABC units ex-factory</c:v>
                </c:pt>
              </c:strCache>
            </c:strRef>
          </c:tx>
          <c:spPr>
            <a:solidFill>
              <a:schemeClr val="accent6">
                <a:lumMod val="20000"/>
                <a:lumOff val="80000"/>
              </a:schemeClr>
            </a:solidFill>
            <a:ln>
              <a:solidFill>
                <a:schemeClr val="accent6">
                  <a:lumMod val="60000"/>
                  <a:lumOff val="40000"/>
                </a:schemeClr>
              </a:solidFill>
            </a:ln>
          </c:spPr>
          <c:invertIfNegative val="0"/>
          <c:cat>
            <c:numRef>
              <c:f>'Capital &amp; Operating Costs'!$D$14:$O$14</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'Capital &amp; Operating Costs'!$D$95:$O$95</c:f>
              <c:numCache>
                <c:formatCode>#,##0</c:formatCode>
                <c:ptCount val="12"/>
                <c:pt idx="0">
                  <c:v>1049.7260273972602</c:v>
                </c:pt>
                <c:pt idx="1">
                  <c:v>1012.1117808219178</c:v>
                </c:pt>
                <c:pt idx="2">
                  <c:v>1094.1350421917809</c:v>
                </c:pt>
                <c:pt idx="3">
                  <c:v>1271.2387671967124</c:v>
                </c:pt>
                <c:pt idx="4">
                  <c:v>1521.2818835894557</c:v>
                </c:pt>
                <c:pt idx="5">
                  <c:v>1823.4391790972199</c:v>
                </c:pt>
                <c:pt idx="6">
                  <c:v>1976.8874870560949</c:v>
                </c:pt>
                <c:pt idx="7">
                  <c:v>1983.6266147866311</c:v>
                </c:pt>
                <c:pt idx="8">
                  <c:v>2002.2727049656251</c:v>
                </c:pt>
                <c:pt idx="9">
                  <c:v>1855.3734720984926</c:v>
                </c:pt>
                <c:pt idx="10">
                  <c:v>0</c:v>
                </c:pt>
                <c:pt idx="11">
                  <c:v>0</c:v>
                </c:pt>
              </c:numCache>
            </c:numRef>
          </c:val>
          <c:extLst>
            <c:ext xmlns:c16="http://schemas.microsoft.com/office/drawing/2014/chart" uri="{C3380CC4-5D6E-409C-BE32-E72D297353CC}">
              <c16:uniqueId val="{00000001-28F1-414F-B6B0-970B9B1D42C5}"/>
            </c:ext>
          </c:extLst>
        </c:ser>
        <c:ser>
          <c:idx val="0"/>
          <c:order val="3"/>
          <c:tx>
            <c:strRef>
              <c:f>'Capital &amp; Operating Costs'!$A$101</c:f>
              <c:strCache>
                <c:ptCount val="1"/>
                <c:pt idx="0">
                  <c:v>Debtors at end of year - in-country sales</c:v>
                </c:pt>
              </c:strCache>
            </c:strRef>
          </c:tx>
          <c:spPr>
            <a:solidFill>
              <a:schemeClr val="accent6">
                <a:lumMod val="75000"/>
              </a:schemeClr>
            </a:solidFill>
          </c:spPr>
          <c:invertIfNegative val="0"/>
          <c:cat>
            <c:numRef>
              <c:f>'Capital &amp; Operating Costs'!$D$14:$O$14</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'Capital &amp; Operating Costs'!$D$101:$O$101</c:f>
              <c:numCache>
                <c:formatCode>#,##0</c:formatCode>
                <c:ptCount val="12"/>
                <c:pt idx="0">
                  <c:v>194.79452054794521</c:v>
                </c:pt>
                <c:pt idx="1">
                  <c:v>190.95719178082192</c:v>
                </c:pt>
                <c:pt idx="2">
                  <c:v>210.70017123287678</c:v>
                </c:pt>
                <c:pt idx="3">
                  <c:v>251.45660958904116</c:v>
                </c:pt>
                <c:pt idx="4">
                  <c:v>312.23006506849327</c:v>
                </c:pt>
                <c:pt idx="5">
                  <c:v>387.88101678082199</c:v>
                </c:pt>
                <c:pt idx="6">
                  <c:v>432.52684166095895</c:v>
                </c:pt>
                <c:pt idx="7">
                  <c:v>442.58875549982889</c:v>
                </c:pt>
                <c:pt idx="8">
                  <c:v>455.86641816482364</c:v>
                </c:pt>
                <c:pt idx="9">
                  <c:v>431.04205117432508</c:v>
                </c:pt>
                <c:pt idx="10">
                  <c:v>0</c:v>
                </c:pt>
                <c:pt idx="11">
                  <c:v>0</c:v>
                </c:pt>
              </c:numCache>
            </c:numRef>
          </c:val>
          <c:extLst>
            <c:ext xmlns:c16="http://schemas.microsoft.com/office/drawing/2014/chart" uri="{C3380CC4-5D6E-409C-BE32-E72D297353CC}">
              <c16:uniqueId val="{00000002-28F1-414F-B6B0-970B9B1D42C5}"/>
            </c:ext>
          </c:extLst>
        </c:ser>
        <c:ser>
          <c:idx val="3"/>
          <c:order val="4"/>
          <c:tx>
            <c:strRef>
              <c:f>'Capital &amp; Operating Costs'!$A$107</c:f>
              <c:strCache>
                <c:ptCount val="1"/>
                <c:pt idx="0">
                  <c:v>3b iii. Freight &amp; Handling of ABC units to customers from ABC Depot</c:v>
                </c:pt>
              </c:strCache>
            </c:strRef>
          </c:tx>
          <c:spPr>
            <a:solidFill>
              <a:schemeClr val="accent6">
                <a:lumMod val="60000"/>
                <a:lumOff val="40000"/>
              </a:schemeClr>
            </a:solidFill>
            <a:ln>
              <a:solidFill>
                <a:schemeClr val="accent6">
                  <a:lumMod val="60000"/>
                  <a:lumOff val="40000"/>
                </a:schemeClr>
              </a:solidFill>
            </a:ln>
          </c:spPr>
          <c:invertIfNegative val="0"/>
          <c:cat>
            <c:numRef>
              <c:f>'Capital &amp; Operating Costs'!$D$14:$O$14</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'Capital &amp; Operating Costs'!$D$107:$O$107</c:f>
              <c:numCache>
                <c:formatCode>#,##0</c:formatCode>
                <c:ptCount val="12"/>
                <c:pt idx="0">
                  <c:v>186</c:v>
                </c:pt>
                <c:pt idx="1">
                  <c:v>196.46250000000003</c:v>
                </c:pt>
                <c:pt idx="2">
                  <c:v>216.10875000000004</c:v>
                </c:pt>
                <c:pt idx="3">
                  <c:v>256.51725000000005</c:v>
                </c:pt>
                <c:pt idx="4">
                  <c:v>317.61592500000012</c:v>
                </c:pt>
                <c:pt idx="5">
                  <c:v>394.49181750000008</c:v>
                </c:pt>
                <c:pt idx="6">
                  <c:v>442.96066237500008</c:v>
                </c:pt>
                <c:pt idx="7">
                  <c:v>456.24948224625007</c:v>
                </c:pt>
                <c:pt idx="8">
                  <c:v>469.93696671363762</c:v>
                </c:pt>
                <c:pt idx="9">
                  <c:v>484.03507571504673</c:v>
                </c:pt>
                <c:pt idx="10">
                  <c:v>0</c:v>
                </c:pt>
                <c:pt idx="11">
                  <c:v>0</c:v>
                </c:pt>
              </c:numCache>
            </c:numRef>
          </c:val>
          <c:extLst>
            <c:ext xmlns:c16="http://schemas.microsoft.com/office/drawing/2014/chart" uri="{C3380CC4-5D6E-409C-BE32-E72D297353CC}">
              <c16:uniqueId val="{00000003-28F1-414F-B6B0-970B9B1D42C5}"/>
            </c:ext>
          </c:extLst>
        </c:ser>
        <c:ser>
          <c:idx val="7"/>
          <c:order val="5"/>
          <c:tx>
            <c:strRef>
              <c:f>'Capital &amp; Operating Costs'!$A$24</c:f>
              <c:strCache>
                <c:ptCount val="1"/>
                <c:pt idx="0">
                  <c:v>Cashstream 2: Capital Costs (for plant and equipment)</c:v>
                </c:pt>
              </c:strCache>
            </c:strRef>
          </c:tx>
          <c:spPr>
            <a:solidFill>
              <a:srgbClr val="00B0F0"/>
            </a:solidFill>
          </c:spPr>
          <c:invertIfNegative val="0"/>
          <c:cat>
            <c:numRef>
              <c:f>'Capital &amp; Operating Costs'!$D$14:$O$14</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'Capital &amp; Operating Costs'!$D$24:$O$24</c:f>
              <c:numCache>
                <c:formatCode>#,##0</c:formatCode>
                <c:ptCount val="12"/>
                <c:pt idx="0">
                  <c:v>315</c:v>
                </c:pt>
                <c:pt idx="1">
                  <c:v>275</c:v>
                </c:pt>
                <c:pt idx="2">
                  <c:v>175</c:v>
                </c:pt>
                <c:pt idx="3">
                  <c:v>55</c:v>
                </c:pt>
                <c:pt idx="4">
                  <c:v>55</c:v>
                </c:pt>
                <c:pt idx="5">
                  <c:v>55</c:v>
                </c:pt>
                <c:pt idx="6">
                  <c:v>55</c:v>
                </c:pt>
                <c:pt idx="7">
                  <c:v>55</c:v>
                </c:pt>
                <c:pt idx="8">
                  <c:v>55</c:v>
                </c:pt>
                <c:pt idx="9">
                  <c:v>55</c:v>
                </c:pt>
                <c:pt idx="10">
                  <c:v>0</c:v>
                </c:pt>
                <c:pt idx="11">
                  <c:v>0</c:v>
                </c:pt>
              </c:numCache>
            </c:numRef>
          </c:val>
          <c:extLst>
            <c:ext xmlns:c16="http://schemas.microsoft.com/office/drawing/2014/chart" uri="{C3380CC4-5D6E-409C-BE32-E72D297353CC}">
              <c16:uniqueId val="{00000001-40F6-4E88-B968-BB5132B9956F}"/>
            </c:ext>
          </c:extLst>
        </c:ser>
        <c:dLbls>
          <c:showLegendKey val="0"/>
          <c:showVal val="0"/>
          <c:showCatName val="0"/>
          <c:showSerName val="0"/>
          <c:showPercent val="0"/>
          <c:showBubbleSize val="0"/>
        </c:dLbls>
        <c:gapWidth val="4"/>
        <c:overlap val="100"/>
        <c:axId val="-2073867136"/>
        <c:axId val="2124135312"/>
      </c:barChart>
      <c:lineChart>
        <c:grouping val="standard"/>
        <c:varyColors val="0"/>
        <c:ser>
          <c:idx val="4"/>
          <c:order val="6"/>
          <c:tx>
            <c:strRef>
              <c:f>'Capital &amp; Operating Costs'!$A$194</c:f>
              <c:strCache>
                <c:ptCount val="1"/>
                <c:pt idx="0">
                  <c:v>Revenue from ABC units</c:v>
                </c:pt>
              </c:strCache>
            </c:strRef>
          </c:tx>
          <c:spPr>
            <a:ln w="50800">
              <a:solidFill>
                <a:srgbClr val="00B050"/>
              </a:solidFill>
              <a:prstDash val="sysDash"/>
            </a:ln>
          </c:spPr>
          <c:marker>
            <c:symbol val="none"/>
          </c:marker>
          <c:val>
            <c:numRef>
              <c:f>'Capital &amp; Operating Costs'!$D$194:$O$194</c:f>
              <c:numCache>
                <c:formatCode>#,##0</c:formatCode>
                <c:ptCount val="12"/>
                <c:pt idx="0">
                  <c:v>1770</c:v>
                </c:pt>
                <c:pt idx="1">
                  <c:v>1835.54</c:v>
                </c:pt>
                <c:pt idx="2">
                  <c:v>1978.7121200000001</c:v>
                </c:pt>
                <c:pt idx="3">
                  <c:v>2293.9390258400003</c:v>
                </c:pt>
                <c:pt idx="4">
                  <c:v>2759.2283782817608</c:v>
                </c:pt>
                <c:pt idx="5">
                  <c:v>3330.2531115073416</c:v>
                </c:pt>
                <c:pt idx="6">
                  <c:v>3648.1741866301709</c:v>
                </c:pt>
                <c:pt idx="7">
                  <c:v>3682.4670239844936</c:v>
                </c:pt>
                <c:pt idx="8">
                  <c:v>3717.0822140099485</c:v>
                </c:pt>
                <c:pt idx="9">
                  <c:v>3752.0227868216416</c:v>
                </c:pt>
                <c:pt idx="10">
                  <c:v>0</c:v>
                </c:pt>
                <c:pt idx="11">
                  <c:v>0</c:v>
                </c:pt>
              </c:numCache>
            </c:numRef>
          </c:val>
          <c:smooth val="0"/>
          <c:extLst>
            <c:ext xmlns:c16="http://schemas.microsoft.com/office/drawing/2014/chart" uri="{C3380CC4-5D6E-409C-BE32-E72D297353CC}">
              <c16:uniqueId val="{00000000-1F04-437B-9C9A-BBA11BBBAE11}"/>
            </c:ext>
          </c:extLst>
        </c:ser>
        <c:dLbls>
          <c:showLegendKey val="0"/>
          <c:showVal val="0"/>
          <c:showCatName val="0"/>
          <c:showSerName val="0"/>
          <c:showPercent val="0"/>
          <c:showBubbleSize val="0"/>
        </c:dLbls>
        <c:marker val="1"/>
        <c:smooth val="0"/>
        <c:axId val="-2073867136"/>
        <c:axId val="2124135312"/>
      </c:lineChart>
      <c:catAx>
        <c:axId val="-2073867136"/>
        <c:scaling>
          <c:orientation val="minMax"/>
        </c:scaling>
        <c:delete val="0"/>
        <c:axPos val="b"/>
        <c:numFmt formatCode="0" sourceLinked="1"/>
        <c:majorTickMark val="out"/>
        <c:minorTickMark val="none"/>
        <c:tickLblPos val="nextTo"/>
        <c:txPr>
          <a:bodyPr/>
          <a:lstStyle/>
          <a:p>
            <a:pPr>
              <a:defRPr sz="1000" b="0"/>
            </a:pPr>
            <a:endParaRPr lang="en-US"/>
          </a:p>
        </c:txPr>
        <c:crossAx val="2124135312"/>
        <c:crosses val="autoZero"/>
        <c:auto val="1"/>
        <c:lblAlgn val="ctr"/>
        <c:lblOffset val="100"/>
        <c:noMultiLvlLbl val="0"/>
      </c:catAx>
      <c:valAx>
        <c:axId val="2124135312"/>
        <c:scaling>
          <c:orientation val="minMax"/>
        </c:scaling>
        <c:delete val="0"/>
        <c:axPos val="l"/>
        <c:majorGridlines/>
        <c:title>
          <c:tx>
            <c:rich>
              <a:bodyPr rot="-5400000" vert="horz"/>
              <a:lstStyle/>
              <a:p>
                <a:pPr>
                  <a:defRPr sz="1200" b="1"/>
                </a:pPr>
                <a:r>
                  <a:rPr lang="en-US" sz="1200" b="1"/>
                  <a:t>US$ 000 Real</a:t>
                </a:r>
              </a:p>
            </c:rich>
          </c:tx>
          <c:layout>
            <c:manualLayout>
              <c:xMode val="edge"/>
              <c:yMode val="edge"/>
              <c:x val="5.3953996821926456E-3"/>
              <c:y val="0.38620860496037646"/>
            </c:manualLayout>
          </c:layout>
          <c:overlay val="0"/>
        </c:title>
        <c:numFmt formatCode="#,##0" sourceLinked="1"/>
        <c:majorTickMark val="out"/>
        <c:minorTickMark val="none"/>
        <c:tickLblPos val="nextTo"/>
        <c:txPr>
          <a:bodyPr/>
          <a:lstStyle/>
          <a:p>
            <a:pPr algn="ctr">
              <a:defRPr lang="en-AU" sz="1000" b="1" i="0" u="none" strike="noStrike" kern="1200" baseline="0">
                <a:solidFill>
                  <a:schemeClr val="tx1"/>
                </a:solidFill>
                <a:latin typeface="+mn-lt"/>
                <a:ea typeface="+mn-ea"/>
                <a:cs typeface="+mn-cs"/>
              </a:defRPr>
            </a:pPr>
            <a:endParaRPr lang="en-US"/>
          </a:p>
        </c:txPr>
        <c:crossAx val="-2073867136"/>
        <c:crosses val="autoZero"/>
        <c:crossBetween val="between"/>
      </c:valAx>
    </c:plotArea>
    <c:legend>
      <c:legendPos val="r"/>
      <c:layout>
        <c:manualLayout>
          <c:xMode val="edge"/>
          <c:yMode val="edge"/>
          <c:x val="0.55866967857980721"/>
          <c:y val="1.2482056465007843E-2"/>
          <c:w val="0.43638259165116883"/>
          <c:h val="0.93306601890439189"/>
        </c:manualLayout>
      </c:layout>
      <c:overlay val="0"/>
      <c:txPr>
        <a:bodyPr/>
        <a:lstStyle/>
        <a:p>
          <a:pPr>
            <a:defRPr sz="1000" b="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Taxes</a:t>
            </a:r>
          </a:p>
        </c:rich>
      </c:tx>
      <c:layout>
        <c:manualLayout>
          <c:xMode val="edge"/>
          <c:yMode val="edge"/>
          <c:x val="0.22866915526345988"/>
          <c:y val="0.12446043382508221"/>
        </c:manualLayout>
      </c:layout>
      <c:overlay val="1"/>
    </c:title>
    <c:autoTitleDeleted val="0"/>
    <c:plotArea>
      <c:layout>
        <c:manualLayout>
          <c:layoutTarget val="inner"/>
          <c:xMode val="edge"/>
          <c:yMode val="edge"/>
          <c:x val="0.131920731906565"/>
          <c:y val="7.5108041662077921E-2"/>
          <c:w val="0.46831007071439817"/>
          <c:h val="0.69916029961709902"/>
        </c:manualLayout>
      </c:layout>
      <c:barChart>
        <c:barDir val="col"/>
        <c:grouping val="stacked"/>
        <c:varyColors val="0"/>
        <c:ser>
          <c:idx val="0"/>
          <c:order val="0"/>
          <c:tx>
            <c:strRef>
              <c:f>Taxes!$A$40</c:f>
              <c:strCache>
                <c:ptCount val="1"/>
                <c:pt idx="0">
                  <c:v>4b.  VAT - net paid/(net refunded)</c:v>
                </c:pt>
              </c:strCache>
            </c:strRef>
          </c:tx>
          <c:spPr>
            <a:solidFill>
              <a:srgbClr val="FF66FF"/>
            </a:solidFill>
          </c:spPr>
          <c:invertIfNegative val="0"/>
          <c:cat>
            <c:numRef>
              <c:f>Taxes!$D$11:$O$11</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Taxes!$D$40:$O$40</c:f>
              <c:numCache>
                <c:formatCode>#,##0.0</c:formatCode>
                <c:ptCount val="12"/>
                <c:pt idx="0">
                  <c:v>-24.312540722291402</c:v>
                </c:pt>
                <c:pt idx="1">
                  <c:v>-11.900806600249069</c:v>
                </c:pt>
                <c:pt idx="2">
                  <c:v>-2.0135675840597855</c:v>
                </c:pt>
                <c:pt idx="3">
                  <c:v>12.891727186749705</c:v>
                </c:pt>
                <c:pt idx="4">
                  <c:v>21.380282238528366</c:v>
                </c:pt>
                <c:pt idx="5">
                  <c:v>31.956699829936326</c:v>
                </c:pt>
                <c:pt idx="6">
                  <c:v>38.443799594374298</c:v>
                </c:pt>
                <c:pt idx="7">
                  <c:v>38.825888313798544</c:v>
                </c:pt>
                <c:pt idx="8">
                  <c:v>37.826247651442031</c:v>
                </c:pt>
                <c:pt idx="9">
                  <c:v>55.332253439434339</c:v>
                </c:pt>
                <c:pt idx="10">
                  <c:v>0</c:v>
                </c:pt>
                <c:pt idx="11">
                  <c:v>0</c:v>
                </c:pt>
              </c:numCache>
            </c:numRef>
          </c:val>
          <c:extLst>
            <c:ext xmlns:c16="http://schemas.microsoft.com/office/drawing/2014/chart" uri="{C3380CC4-5D6E-409C-BE32-E72D297353CC}">
              <c16:uniqueId val="{00000000-1A8B-46B6-89E9-A218F5867D03}"/>
            </c:ext>
          </c:extLst>
        </c:ser>
        <c:ser>
          <c:idx val="2"/>
          <c:order val="1"/>
          <c:tx>
            <c:strRef>
              <c:f>Taxes!$A$23</c:f>
              <c:strCache>
                <c:ptCount val="1"/>
                <c:pt idx="0">
                  <c:v>4a.  Withholding Tax ("WHT")</c:v>
                </c:pt>
              </c:strCache>
            </c:strRef>
          </c:tx>
          <c:spPr>
            <a:solidFill>
              <a:srgbClr val="FFCCFF"/>
            </a:solidFill>
            <a:ln>
              <a:noFill/>
            </a:ln>
          </c:spPr>
          <c:invertIfNegative val="0"/>
          <c:cat>
            <c:numRef>
              <c:f>Taxes!$D$11:$O$11</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Taxes!$D$23:$O$23</c:f>
              <c:numCache>
                <c:formatCode>#,##0.0</c:formatCode>
                <c:ptCount val="12"/>
                <c:pt idx="0">
                  <c:v>5.2</c:v>
                </c:pt>
                <c:pt idx="1">
                  <c:v>5.2</c:v>
                </c:pt>
                <c:pt idx="2">
                  <c:v>5.2</c:v>
                </c:pt>
                <c:pt idx="3">
                  <c:v>5.2</c:v>
                </c:pt>
                <c:pt idx="4">
                  <c:v>5.2</c:v>
                </c:pt>
                <c:pt idx="5">
                  <c:v>5.2</c:v>
                </c:pt>
                <c:pt idx="6">
                  <c:v>5.2</c:v>
                </c:pt>
                <c:pt idx="7">
                  <c:v>5.2</c:v>
                </c:pt>
                <c:pt idx="8">
                  <c:v>5.2</c:v>
                </c:pt>
                <c:pt idx="9">
                  <c:v>5.2</c:v>
                </c:pt>
                <c:pt idx="10">
                  <c:v>0</c:v>
                </c:pt>
                <c:pt idx="11">
                  <c:v>0</c:v>
                </c:pt>
              </c:numCache>
            </c:numRef>
          </c:val>
          <c:extLst>
            <c:ext xmlns:c16="http://schemas.microsoft.com/office/drawing/2014/chart" uri="{C3380CC4-5D6E-409C-BE32-E72D297353CC}">
              <c16:uniqueId val="{00000002-23DB-4A8A-A99D-F4BB4350435E}"/>
            </c:ext>
          </c:extLst>
        </c:ser>
        <c:ser>
          <c:idx val="1"/>
          <c:order val="2"/>
          <c:tx>
            <c:strRef>
              <c:f>Taxes!$A$72</c:f>
              <c:strCache>
                <c:ptCount val="1"/>
                <c:pt idx="0">
                  <c:v>4e  Income Tax or Minimum Tax  (before project funding)</c:v>
                </c:pt>
              </c:strCache>
            </c:strRef>
          </c:tx>
          <c:spPr>
            <a:solidFill>
              <a:srgbClr val="FF0000"/>
            </a:solidFill>
          </c:spPr>
          <c:invertIfNegative val="0"/>
          <c:cat>
            <c:numRef>
              <c:f>Taxes!$D$11:$O$11</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Taxes!$D$72:$O$72</c:f>
              <c:numCache>
                <c:formatCode>#,##0.0</c:formatCode>
                <c:ptCount val="12"/>
                <c:pt idx="0">
                  <c:v>18.556148194271486</c:v>
                </c:pt>
                <c:pt idx="1">
                  <c:v>31.68131683271065</c:v>
                </c:pt>
                <c:pt idx="2">
                  <c:v>33.596102258986264</c:v>
                </c:pt>
                <c:pt idx="3">
                  <c:v>57.666653697184074</c:v>
                </c:pt>
                <c:pt idx="4">
                  <c:v>104.72434368644917</c:v>
                </c:pt>
                <c:pt idx="5">
                  <c:v>154.84291175483975</c:v>
                </c:pt>
                <c:pt idx="6">
                  <c:v>182.9940293087127</c:v>
                </c:pt>
                <c:pt idx="7">
                  <c:v>188.1122924846245</c:v>
                </c:pt>
                <c:pt idx="8">
                  <c:v>189.44201539650021</c:v>
                </c:pt>
                <c:pt idx="9">
                  <c:v>193.81679003496913</c:v>
                </c:pt>
                <c:pt idx="10">
                  <c:v>0</c:v>
                </c:pt>
                <c:pt idx="11">
                  <c:v>0</c:v>
                </c:pt>
              </c:numCache>
            </c:numRef>
          </c:val>
          <c:extLst>
            <c:ext xmlns:c16="http://schemas.microsoft.com/office/drawing/2014/chart" uri="{C3380CC4-5D6E-409C-BE32-E72D297353CC}">
              <c16:uniqueId val="{00000001-1A8B-46B6-89E9-A218F5867D03}"/>
            </c:ext>
          </c:extLst>
        </c:ser>
        <c:dLbls>
          <c:showLegendKey val="0"/>
          <c:showVal val="0"/>
          <c:showCatName val="0"/>
          <c:showSerName val="0"/>
          <c:showPercent val="0"/>
          <c:showBubbleSize val="0"/>
        </c:dLbls>
        <c:gapWidth val="4"/>
        <c:overlap val="100"/>
        <c:axId val="-2122116928"/>
        <c:axId val="-2121761744"/>
      </c:barChart>
      <c:catAx>
        <c:axId val="-2122116928"/>
        <c:scaling>
          <c:orientation val="minMax"/>
        </c:scaling>
        <c:delete val="0"/>
        <c:axPos val="b"/>
        <c:numFmt formatCode="0" sourceLinked="1"/>
        <c:majorTickMark val="out"/>
        <c:minorTickMark val="none"/>
        <c:tickLblPos val="nextTo"/>
        <c:txPr>
          <a:bodyPr/>
          <a:lstStyle/>
          <a:p>
            <a:pPr>
              <a:defRPr sz="1000" b="0"/>
            </a:pPr>
            <a:endParaRPr lang="en-US"/>
          </a:p>
        </c:txPr>
        <c:crossAx val="-2121761744"/>
        <c:crosses val="autoZero"/>
        <c:auto val="1"/>
        <c:lblAlgn val="ctr"/>
        <c:lblOffset val="100"/>
        <c:noMultiLvlLbl val="0"/>
      </c:catAx>
      <c:valAx>
        <c:axId val="-2121761744"/>
        <c:scaling>
          <c:orientation val="minMax"/>
        </c:scaling>
        <c:delete val="0"/>
        <c:axPos val="l"/>
        <c:majorGridlines/>
        <c:title>
          <c:tx>
            <c:rich>
              <a:bodyPr rot="-5400000" vert="horz"/>
              <a:lstStyle/>
              <a:p>
                <a:pPr>
                  <a:defRPr sz="1100" b="1"/>
                </a:pPr>
                <a:r>
                  <a:rPr lang="en-US" sz="1100" b="1"/>
                  <a:t>US$ 000 Real</a:t>
                </a:r>
              </a:p>
            </c:rich>
          </c:tx>
          <c:layout>
            <c:manualLayout>
              <c:xMode val="edge"/>
              <c:yMode val="edge"/>
              <c:x val="1.626850709977593E-4"/>
              <c:y val="0.2223404985769184"/>
            </c:manualLayout>
          </c:layout>
          <c:overlay val="0"/>
        </c:title>
        <c:numFmt formatCode="#,##0.0" sourceLinked="1"/>
        <c:majorTickMark val="out"/>
        <c:minorTickMark val="none"/>
        <c:tickLblPos val="nextTo"/>
        <c:txPr>
          <a:bodyPr/>
          <a:lstStyle/>
          <a:p>
            <a:pPr algn="ctr">
              <a:defRPr lang="en-AU" sz="1000" b="1" i="0" u="none" strike="noStrike" kern="1200" baseline="0">
                <a:solidFill>
                  <a:schemeClr val="tx1"/>
                </a:solidFill>
                <a:latin typeface="+mn-lt"/>
                <a:ea typeface="+mn-ea"/>
                <a:cs typeface="+mn-cs"/>
              </a:defRPr>
            </a:pPr>
            <a:endParaRPr lang="en-US"/>
          </a:p>
        </c:txPr>
        <c:crossAx val="-2122116928"/>
        <c:crosses val="autoZero"/>
        <c:crossBetween val="between"/>
      </c:valAx>
      <c:spPr>
        <a:ln>
          <a:noFill/>
        </a:ln>
      </c:spPr>
    </c:plotArea>
    <c:legend>
      <c:legendPos val="r"/>
      <c:layout>
        <c:manualLayout>
          <c:xMode val="edge"/>
          <c:yMode val="edge"/>
          <c:x val="0.57510246572488355"/>
          <c:y val="0.1662045115982124"/>
          <c:w val="0.41619740987287895"/>
          <c:h val="0.72392946656315849"/>
        </c:manualLayout>
      </c:layout>
      <c:overlay val="0"/>
      <c:txPr>
        <a:bodyPr/>
        <a:lstStyle/>
        <a:p>
          <a:pPr>
            <a:defRPr sz="1000" b="1"/>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Cash Generation &amp; Payback</a:t>
            </a:r>
          </a:p>
        </c:rich>
      </c:tx>
      <c:layout>
        <c:manualLayout>
          <c:xMode val="edge"/>
          <c:yMode val="edge"/>
          <c:x val="0.15026816187225744"/>
          <c:y val="4.6008741660915571E-2"/>
        </c:manualLayout>
      </c:layout>
      <c:overlay val="0"/>
    </c:title>
    <c:autoTitleDeleted val="0"/>
    <c:plotArea>
      <c:layout>
        <c:manualLayout>
          <c:layoutTarget val="inner"/>
          <c:xMode val="edge"/>
          <c:yMode val="edge"/>
          <c:x val="0.13086785653499797"/>
          <c:y val="4.6770446797598599E-2"/>
          <c:w val="0.83190556811797844"/>
          <c:h val="0.75925810997763199"/>
        </c:manualLayout>
      </c:layout>
      <c:barChart>
        <c:barDir val="col"/>
        <c:grouping val="stacked"/>
        <c:varyColors val="0"/>
        <c:ser>
          <c:idx val="0"/>
          <c:order val="0"/>
          <c:tx>
            <c:strRef>
              <c:f>'Cash Generation - before fundng'!$A$28</c:f>
              <c:strCache>
                <c:ptCount val="1"/>
                <c:pt idx="0">
                  <c:v>Cash Generation  before funding (Real)</c:v>
                </c:pt>
              </c:strCache>
            </c:strRef>
          </c:tx>
          <c:spPr>
            <a:solidFill>
              <a:schemeClr val="accent3">
                <a:lumMod val="20000"/>
                <a:lumOff val="80000"/>
              </a:schemeClr>
            </a:solidFill>
            <a:ln>
              <a:solidFill>
                <a:srgbClr val="00B050"/>
              </a:solidFill>
            </a:ln>
          </c:spPr>
          <c:invertIfNegative val="0"/>
          <c:cat>
            <c:numRef>
              <c:f>'Cash Generation - before fundng'!$D$18:$O$18</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'Cash Generation - before fundng'!$D$28:$O$28</c:f>
              <c:numCache>
                <c:formatCode>#,##0_);[Red]\(#,##0\)</c:formatCode>
                <c:ptCount val="12"/>
                <c:pt idx="0">
                  <c:v>-303.31131312031948</c:v>
                </c:pt>
                <c:pt idx="1">
                  <c:v>-75.546389027732857</c:v>
                </c:pt>
                <c:pt idx="2">
                  <c:v>45.467297365231161</c:v>
                </c:pt>
                <c:pt idx="3">
                  <c:v>205.49251740064983</c:v>
                </c:pt>
                <c:pt idx="4">
                  <c:v>311.86521629330309</c:v>
                </c:pt>
                <c:pt idx="5">
                  <c:v>455.60201749368707</c:v>
                </c:pt>
                <c:pt idx="6">
                  <c:v>546.44580925612854</c:v>
                </c:pt>
                <c:pt idx="7">
                  <c:v>563.50871084560549</c:v>
                </c:pt>
                <c:pt idx="8">
                  <c:v>564.4680762998164</c:v>
                </c:pt>
                <c:pt idx="9">
                  <c:v>879.7892840575355</c:v>
                </c:pt>
                <c:pt idx="10">
                  <c:v>88.394366896759664</c:v>
                </c:pt>
                <c:pt idx="11">
                  <c:v>0</c:v>
                </c:pt>
              </c:numCache>
            </c:numRef>
          </c:val>
          <c:extLst>
            <c:ext xmlns:c16="http://schemas.microsoft.com/office/drawing/2014/chart" uri="{C3380CC4-5D6E-409C-BE32-E72D297353CC}">
              <c16:uniqueId val="{00000000-EDBE-40C6-B1DC-58154D1B293B}"/>
            </c:ext>
          </c:extLst>
        </c:ser>
        <c:dLbls>
          <c:showLegendKey val="0"/>
          <c:showVal val="0"/>
          <c:showCatName val="0"/>
          <c:showSerName val="0"/>
          <c:showPercent val="0"/>
          <c:showBubbleSize val="0"/>
        </c:dLbls>
        <c:gapWidth val="5"/>
        <c:overlap val="100"/>
        <c:axId val="-2118552272"/>
        <c:axId val="-2118558384"/>
      </c:barChart>
      <c:lineChart>
        <c:grouping val="standard"/>
        <c:varyColors val="0"/>
        <c:ser>
          <c:idx val="2"/>
          <c:order val="1"/>
          <c:tx>
            <c:strRef>
              <c:f>'Cash Generation - before fundng'!$A$29</c:f>
              <c:strCache>
                <c:ptCount val="1"/>
                <c:pt idx="0">
                  <c:v>Cumulative Cash Generation  (Real)</c:v>
                </c:pt>
              </c:strCache>
            </c:strRef>
          </c:tx>
          <c:spPr>
            <a:ln w="44450">
              <a:solidFill>
                <a:schemeClr val="accent3">
                  <a:lumMod val="60000"/>
                  <a:lumOff val="40000"/>
                </a:schemeClr>
              </a:solidFill>
            </a:ln>
          </c:spPr>
          <c:marker>
            <c:symbol val="none"/>
          </c:marker>
          <c:cat>
            <c:numRef>
              <c:f>'Cash Generation - before fundng'!$D$18:$O$18</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'Cash Generation - before fundng'!$D$29:$O$29</c:f>
              <c:numCache>
                <c:formatCode>#,##0_);[Red]\(#,##0\)</c:formatCode>
                <c:ptCount val="12"/>
                <c:pt idx="0">
                  <c:v>-303.31131312031948</c:v>
                </c:pt>
                <c:pt idx="1">
                  <c:v>-378.85770214805234</c:v>
                </c:pt>
                <c:pt idx="2">
                  <c:v>-333.39040478282118</c:v>
                </c:pt>
                <c:pt idx="3">
                  <c:v>-127.89788738217135</c:v>
                </c:pt>
                <c:pt idx="4">
                  <c:v>183.96732891113174</c:v>
                </c:pt>
                <c:pt idx="5">
                  <c:v>639.56934640481882</c:v>
                </c:pt>
                <c:pt idx="6">
                  <c:v>1186.0151556609474</c:v>
                </c:pt>
                <c:pt idx="7">
                  <c:v>1749.5238665065528</c:v>
                </c:pt>
                <c:pt idx="8">
                  <c:v>2313.9919428063695</c:v>
                </c:pt>
                <c:pt idx="9">
                  <c:v>3193.781226863905</c:v>
                </c:pt>
                <c:pt idx="10">
                  <c:v>3282.1755937606645</c:v>
                </c:pt>
                <c:pt idx="11">
                  <c:v>3282.1755937606645</c:v>
                </c:pt>
              </c:numCache>
            </c:numRef>
          </c:val>
          <c:smooth val="0"/>
          <c:extLst>
            <c:ext xmlns:c16="http://schemas.microsoft.com/office/drawing/2014/chart" uri="{C3380CC4-5D6E-409C-BE32-E72D297353CC}">
              <c16:uniqueId val="{00000001-E885-4768-8520-2F6473D1657F}"/>
            </c:ext>
          </c:extLst>
        </c:ser>
        <c:dLbls>
          <c:showLegendKey val="0"/>
          <c:showVal val="0"/>
          <c:showCatName val="0"/>
          <c:showSerName val="0"/>
          <c:showPercent val="0"/>
          <c:showBubbleSize val="0"/>
        </c:dLbls>
        <c:marker val="1"/>
        <c:smooth val="0"/>
        <c:axId val="-2118552272"/>
        <c:axId val="-2118558384"/>
      </c:lineChart>
      <c:catAx>
        <c:axId val="-2118552272"/>
        <c:scaling>
          <c:orientation val="minMax"/>
        </c:scaling>
        <c:delete val="0"/>
        <c:axPos val="b"/>
        <c:numFmt formatCode="0" sourceLinked="1"/>
        <c:majorTickMark val="out"/>
        <c:minorTickMark val="none"/>
        <c:tickLblPos val="nextTo"/>
        <c:txPr>
          <a:bodyPr/>
          <a:lstStyle/>
          <a:p>
            <a:pPr>
              <a:defRPr sz="1000" b="0"/>
            </a:pPr>
            <a:endParaRPr lang="en-US"/>
          </a:p>
        </c:txPr>
        <c:crossAx val="-2118558384"/>
        <c:crosses val="autoZero"/>
        <c:auto val="1"/>
        <c:lblAlgn val="ctr"/>
        <c:lblOffset val="100"/>
        <c:noMultiLvlLbl val="0"/>
      </c:catAx>
      <c:valAx>
        <c:axId val="-2118558384"/>
        <c:scaling>
          <c:orientation val="minMax"/>
        </c:scaling>
        <c:delete val="0"/>
        <c:axPos val="l"/>
        <c:majorGridlines/>
        <c:title>
          <c:tx>
            <c:rich>
              <a:bodyPr rot="-5400000" vert="horz"/>
              <a:lstStyle/>
              <a:p>
                <a:pPr>
                  <a:defRPr sz="1200" b="0"/>
                </a:pPr>
                <a:r>
                  <a:rPr lang="en-US" sz="1200" b="0"/>
                  <a:t>US$ 000</a:t>
                </a:r>
              </a:p>
            </c:rich>
          </c:tx>
          <c:layout>
            <c:manualLayout>
              <c:xMode val="edge"/>
              <c:yMode val="edge"/>
              <c:x val="1.1305412761971306E-2"/>
              <c:y val="0.54219997862586022"/>
            </c:manualLayout>
          </c:layout>
          <c:overlay val="0"/>
        </c:title>
        <c:numFmt formatCode="#,##0" sourceLinked="0"/>
        <c:majorTickMark val="out"/>
        <c:minorTickMark val="none"/>
        <c:tickLblPos val="nextTo"/>
        <c:txPr>
          <a:bodyPr/>
          <a:lstStyle/>
          <a:p>
            <a:pPr>
              <a:defRPr sz="1000" b="0"/>
            </a:pPr>
            <a:endParaRPr lang="en-US"/>
          </a:p>
        </c:txPr>
        <c:crossAx val="-2118552272"/>
        <c:crosses val="autoZero"/>
        <c:crossBetween val="between"/>
      </c:valAx>
    </c:plotArea>
    <c:legend>
      <c:legendPos val="b"/>
      <c:layout>
        <c:manualLayout>
          <c:xMode val="edge"/>
          <c:yMode val="edge"/>
          <c:x val="2.7322404371584699E-2"/>
          <c:y val="0.79687191793804202"/>
          <c:w val="0.97267759562841505"/>
          <c:h val="0.19146920303186399"/>
        </c:manualLayout>
      </c:layout>
      <c:overlay val="0"/>
      <c:txPr>
        <a:bodyPr/>
        <a:lstStyle/>
        <a:p>
          <a:pPr>
            <a:defRPr sz="1000" b="0" i="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NPV </a:t>
            </a:r>
          </a:p>
        </c:rich>
      </c:tx>
      <c:layout>
        <c:manualLayout>
          <c:xMode val="edge"/>
          <c:yMode val="edge"/>
          <c:x val="0.22047781569965874"/>
          <c:y val="6.893382352941177E-2"/>
        </c:manualLayout>
      </c:layout>
      <c:overlay val="0"/>
    </c:title>
    <c:autoTitleDeleted val="0"/>
    <c:plotArea>
      <c:layout>
        <c:manualLayout>
          <c:layoutTarget val="inner"/>
          <c:xMode val="edge"/>
          <c:yMode val="edge"/>
          <c:x val="0.1731236667088969"/>
          <c:y val="7.8939540875405279E-2"/>
          <c:w val="0.80590199262634832"/>
          <c:h val="0.75925810997763199"/>
        </c:manualLayout>
      </c:layout>
      <c:barChart>
        <c:barDir val="col"/>
        <c:grouping val="stacked"/>
        <c:varyColors val="0"/>
        <c:ser>
          <c:idx val="0"/>
          <c:order val="0"/>
          <c:tx>
            <c:strRef>
              <c:f>'Cash Generation - before fundng'!$A$44</c:f>
              <c:strCache>
                <c:ptCount val="1"/>
                <c:pt idx="0">
                  <c:v>Discounted cash generation</c:v>
                </c:pt>
              </c:strCache>
            </c:strRef>
          </c:tx>
          <c:spPr>
            <a:solidFill>
              <a:schemeClr val="accent3">
                <a:lumMod val="40000"/>
                <a:lumOff val="60000"/>
              </a:schemeClr>
            </a:solidFill>
            <a:ln>
              <a:solidFill>
                <a:srgbClr val="00B050"/>
              </a:solidFill>
            </a:ln>
          </c:spPr>
          <c:invertIfNegative val="0"/>
          <c:cat>
            <c:numRef>
              <c:f>'Cash Generation - before fundng'!$D$18:$O$18</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'Cash Generation - before fundng'!$D$44:$O$44</c:f>
              <c:numCache>
                <c:formatCode>#,##0_);[Red]\(#,##0\)</c:formatCode>
                <c:ptCount val="12"/>
                <c:pt idx="0">
                  <c:v>-290.51954831158508</c:v>
                </c:pt>
                <c:pt idx="1">
                  <c:v>-66.385612077344319</c:v>
                </c:pt>
                <c:pt idx="2">
                  <c:v>36.654972253501221</c:v>
                </c:pt>
                <c:pt idx="3">
                  <c:v>151.98588956896504</c:v>
                </c:pt>
                <c:pt idx="4">
                  <c:v>211.61560868726912</c:v>
                </c:pt>
                <c:pt idx="5">
                  <c:v>283.62199000314041</c:v>
                </c:pt>
                <c:pt idx="6">
                  <c:v>312.08641402569498</c:v>
                </c:pt>
                <c:pt idx="7">
                  <c:v>295.25815342391115</c:v>
                </c:pt>
                <c:pt idx="8">
                  <c:v>271.34020749759975</c:v>
                </c:pt>
                <c:pt idx="9">
                  <c:v>387.99572230482084</c:v>
                </c:pt>
                <c:pt idx="10">
                  <c:v>35.764022650126321</c:v>
                </c:pt>
                <c:pt idx="11">
                  <c:v>0</c:v>
                </c:pt>
              </c:numCache>
            </c:numRef>
          </c:val>
          <c:extLst>
            <c:ext xmlns:c16="http://schemas.microsoft.com/office/drawing/2014/chart" uri="{C3380CC4-5D6E-409C-BE32-E72D297353CC}">
              <c16:uniqueId val="{00000000-280C-46D7-8BF6-8DC802C3FFFF}"/>
            </c:ext>
          </c:extLst>
        </c:ser>
        <c:dLbls>
          <c:showLegendKey val="0"/>
          <c:showVal val="0"/>
          <c:showCatName val="0"/>
          <c:showSerName val="0"/>
          <c:showPercent val="0"/>
          <c:showBubbleSize val="0"/>
        </c:dLbls>
        <c:gapWidth val="5"/>
        <c:overlap val="100"/>
        <c:axId val="-2118552272"/>
        <c:axId val="-2118558384"/>
      </c:barChart>
      <c:lineChart>
        <c:grouping val="standard"/>
        <c:varyColors val="0"/>
        <c:ser>
          <c:idx val="2"/>
          <c:order val="1"/>
          <c:tx>
            <c:strRef>
              <c:f>'Cash Generation - before fundng'!$A$45</c:f>
              <c:strCache>
                <c:ptCount val="1"/>
                <c:pt idx="0">
                  <c:v>Cumulative discounted cash flow</c:v>
                </c:pt>
              </c:strCache>
            </c:strRef>
          </c:tx>
          <c:spPr>
            <a:ln w="44450">
              <a:solidFill>
                <a:schemeClr val="accent3">
                  <a:lumMod val="75000"/>
                </a:schemeClr>
              </a:solidFill>
            </a:ln>
          </c:spPr>
          <c:marker>
            <c:symbol val="none"/>
          </c:marker>
          <c:cat>
            <c:numRef>
              <c:f>'Cash Generation - before fundng'!$D$18:$O$18</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'Cash Generation - before fundng'!$D$45:$O$45</c:f>
              <c:numCache>
                <c:formatCode>#,##0_);[Red]\(#,##0\)</c:formatCode>
                <c:ptCount val="12"/>
                <c:pt idx="0">
                  <c:v>-290.51954831158508</c:v>
                </c:pt>
                <c:pt idx="1">
                  <c:v>-356.9051603889294</c:v>
                </c:pt>
                <c:pt idx="2">
                  <c:v>-320.25018813542817</c:v>
                </c:pt>
                <c:pt idx="3">
                  <c:v>-168.26429856646314</c:v>
                </c:pt>
                <c:pt idx="4">
                  <c:v>43.351310120805977</c:v>
                </c:pt>
                <c:pt idx="5">
                  <c:v>326.97330012394639</c:v>
                </c:pt>
                <c:pt idx="6">
                  <c:v>639.05971414964142</c:v>
                </c:pt>
                <c:pt idx="7">
                  <c:v>934.31786757355258</c:v>
                </c:pt>
                <c:pt idx="8">
                  <c:v>1205.6580750711523</c:v>
                </c:pt>
                <c:pt idx="9">
                  <c:v>1593.6537973759732</c:v>
                </c:pt>
                <c:pt idx="10">
                  <c:v>1629.4178200260994</c:v>
                </c:pt>
                <c:pt idx="11">
                  <c:v>1629.4178200260994</c:v>
                </c:pt>
              </c:numCache>
            </c:numRef>
          </c:val>
          <c:smooth val="0"/>
          <c:extLst>
            <c:ext xmlns:c16="http://schemas.microsoft.com/office/drawing/2014/chart" uri="{C3380CC4-5D6E-409C-BE32-E72D297353CC}">
              <c16:uniqueId val="{00000001-280C-46D7-8BF6-8DC802C3FFFF}"/>
            </c:ext>
          </c:extLst>
        </c:ser>
        <c:dLbls>
          <c:showLegendKey val="0"/>
          <c:showVal val="0"/>
          <c:showCatName val="0"/>
          <c:showSerName val="0"/>
          <c:showPercent val="0"/>
          <c:showBubbleSize val="0"/>
        </c:dLbls>
        <c:marker val="1"/>
        <c:smooth val="0"/>
        <c:axId val="-2118552272"/>
        <c:axId val="-2118558384"/>
      </c:lineChart>
      <c:catAx>
        <c:axId val="-2118552272"/>
        <c:scaling>
          <c:orientation val="minMax"/>
        </c:scaling>
        <c:delete val="0"/>
        <c:axPos val="b"/>
        <c:numFmt formatCode="0" sourceLinked="1"/>
        <c:majorTickMark val="out"/>
        <c:minorTickMark val="none"/>
        <c:tickLblPos val="nextTo"/>
        <c:txPr>
          <a:bodyPr/>
          <a:lstStyle/>
          <a:p>
            <a:pPr>
              <a:defRPr sz="1000" b="0"/>
            </a:pPr>
            <a:endParaRPr lang="en-US"/>
          </a:p>
        </c:txPr>
        <c:crossAx val="-2118558384"/>
        <c:crosses val="autoZero"/>
        <c:auto val="1"/>
        <c:lblAlgn val="ctr"/>
        <c:lblOffset val="100"/>
        <c:noMultiLvlLbl val="0"/>
      </c:catAx>
      <c:valAx>
        <c:axId val="-2118558384"/>
        <c:scaling>
          <c:orientation val="minMax"/>
          <c:max val="4000"/>
        </c:scaling>
        <c:delete val="0"/>
        <c:axPos val="l"/>
        <c:majorGridlines/>
        <c:title>
          <c:tx>
            <c:rich>
              <a:bodyPr rot="-5400000" vert="horz"/>
              <a:lstStyle/>
              <a:p>
                <a:pPr>
                  <a:defRPr sz="1200" b="0"/>
                </a:pPr>
                <a:r>
                  <a:rPr lang="en-US" sz="1200" b="0"/>
                  <a:t>US$ 000</a:t>
                </a:r>
              </a:p>
            </c:rich>
          </c:tx>
          <c:layout>
            <c:manualLayout>
              <c:xMode val="edge"/>
              <c:yMode val="edge"/>
              <c:x val="8.05506994765493E-3"/>
              <c:y val="0.404173658620541"/>
            </c:manualLayout>
          </c:layout>
          <c:overlay val="0"/>
        </c:title>
        <c:numFmt formatCode="#,##0" sourceLinked="0"/>
        <c:majorTickMark val="out"/>
        <c:minorTickMark val="none"/>
        <c:tickLblPos val="nextTo"/>
        <c:txPr>
          <a:bodyPr/>
          <a:lstStyle/>
          <a:p>
            <a:pPr>
              <a:defRPr sz="1000" b="0"/>
            </a:pPr>
            <a:endParaRPr lang="en-US"/>
          </a:p>
        </c:txPr>
        <c:crossAx val="-2118552272"/>
        <c:crosses val="autoZero"/>
        <c:crossBetween val="between"/>
      </c:valAx>
    </c:plotArea>
    <c:legend>
      <c:legendPos val="b"/>
      <c:layout>
        <c:manualLayout>
          <c:xMode val="edge"/>
          <c:yMode val="edge"/>
          <c:x val="2.7322404371584699E-2"/>
          <c:y val="0.79687191793804202"/>
          <c:w val="0.97267759562841505"/>
          <c:h val="0.19146920303186399"/>
        </c:manualLayout>
      </c:layout>
      <c:overlay val="0"/>
      <c:txPr>
        <a:bodyPr/>
        <a:lstStyle/>
        <a:p>
          <a:pPr>
            <a:defRPr sz="1000" b="0" i="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Four Cash Streams</a:t>
            </a:r>
          </a:p>
        </c:rich>
      </c:tx>
      <c:layout>
        <c:manualLayout>
          <c:xMode val="edge"/>
          <c:yMode val="edge"/>
          <c:x val="0.13326168096851909"/>
          <c:y val="5.1613047516949041E-2"/>
        </c:manualLayout>
      </c:layout>
      <c:overlay val="1"/>
    </c:title>
    <c:autoTitleDeleted val="0"/>
    <c:plotArea>
      <c:layout>
        <c:manualLayout>
          <c:layoutTarget val="inner"/>
          <c:xMode val="edge"/>
          <c:yMode val="edge"/>
          <c:x val="9.2948054495765306E-2"/>
          <c:y val="0.138723785316611"/>
          <c:w val="0.57178765186568203"/>
          <c:h val="0.78019541066844"/>
        </c:manualLayout>
      </c:layout>
      <c:barChart>
        <c:barDir val="col"/>
        <c:grouping val="stacked"/>
        <c:varyColors val="0"/>
        <c:ser>
          <c:idx val="0"/>
          <c:order val="0"/>
          <c:tx>
            <c:strRef>
              <c:f>'Cash Generation - before fundng'!$A$49</c:f>
              <c:strCache>
                <c:ptCount val="1"/>
                <c:pt idx="0">
                  <c:v>Cashstream 2: Capital Costs (for plant and equipment)</c:v>
                </c:pt>
              </c:strCache>
            </c:strRef>
          </c:tx>
          <c:spPr>
            <a:solidFill>
              <a:srgbClr val="00B0F0"/>
            </a:solidFill>
            <a:ln>
              <a:noFill/>
            </a:ln>
          </c:spPr>
          <c:invertIfNegative val="0"/>
          <c:cat>
            <c:numRef>
              <c:f>'Cash Generation - before fundng'!$D$18:$O$18</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'Cash Generation - before fundng'!$D$49:$O$49</c:f>
              <c:numCache>
                <c:formatCode>#,##0_);[Red]\(#,##0\)</c:formatCode>
                <c:ptCount val="12"/>
                <c:pt idx="0">
                  <c:v>-315</c:v>
                </c:pt>
                <c:pt idx="1">
                  <c:v>-275</c:v>
                </c:pt>
                <c:pt idx="2">
                  <c:v>-175</c:v>
                </c:pt>
                <c:pt idx="3">
                  <c:v>-55</c:v>
                </c:pt>
                <c:pt idx="4">
                  <c:v>-55</c:v>
                </c:pt>
                <c:pt idx="5">
                  <c:v>-55</c:v>
                </c:pt>
                <c:pt idx="6">
                  <c:v>-55</c:v>
                </c:pt>
                <c:pt idx="7">
                  <c:v>-55</c:v>
                </c:pt>
                <c:pt idx="8">
                  <c:v>-55</c:v>
                </c:pt>
                <c:pt idx="9">
                  <c:v>-55</c:v>
                </c:pt>
                <c:pt idx="10">
                  <c:v>0</c:v>
                </c:pt>
                <c:pt idx="11">
                  <c:v>0</c:v>
                </c:pt>
              </c:numCache>
            </c:numRef>
          </c:val>
          <c:extLst>
            <c:ext xmlns:c16="http://schemas.microsoft.com/office/drawing/2014/chart" uri="{C3380CC4-5D6E-409C-BE32-E72D297353CC}">
              <c16:uniqueId val="{00000000-3F32-4D36-8554-70FA9A71CDBC}"/>
            </c:ext>
          </c:extLst>
        </c:ser>
        <c:ser>
          <c:idx val="1"/>
          <c:order val="1"/>
          <c:tx>
            <c:strRef>
              <c:f>'Cash Generation - before fundng'!$A$50</c:f>
              <c:strCache>
                <c:ptCount val="1"/>
                <c:pt idx="0">
                  <c:v>Cashstream 3: Operating Costs </c:v>
                </c:pt>
              </c:strCache>
            </c:strRef>
          </c:tx>
          <c:spPr>
            <a:solidFill>
              <a:srgbClr val="FFFFCC"/>
            </a:solidFill>
            <a:ln>
              <a:solidFill>
                <a:srgbClr val="F8E1A6"/>
              </a:solidFill>
            </a:ln>
          </c:spPr>
          <c:invertIfNegative val="0"/>
          <c:cat>
            <c:numRef>
              <c:f>'Cash Generation - before fundng'!$D$18:$O$18</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'Cash Generation - before fundng'!$D$50:$O$50</c:f>
              <c:numCache>
                <c:formatCode>#,##0_);[Red]\(#,##0\)</c:formatCode>
                <c:ptCount val="12"/>
                <c:pt idx="0">
                  <c:v>-1730.8677056483393</c:v>
                </c:pt>
                <c:pt idx="1">
                  <c:v>-1693.9959198911617</c:v>
                </c:pt>
                <c:pt idx="2">
                  <c:v>-1814.8137614392947</c:v>
                </c:pt>
                <c:pt idx="3">
                  <c:v>-2074.8339722629239</c:v>
                </c:pt>
                <c:pt idx="4">
                  <c:v>-2438.4768972027</c:v>
                </c:pt>
                <c:pt idx="5">
                  <c:v>-2886.3581142229659</c:v>
                </c:pt>
                <c:pt idx="6">
                  <c:v>-3150.0269408689842</c:v>
                </c:pt>
                <c:pt idx="7">
                  <c:v>-3197.9091132362173</c:v>
                </c:pt>
                <c:pt idx="8">
                  <c:v>-3242.2446210239732</c:v>
                </c:pt>
                <c:pt idx="9">
                  <c:v>-2951.3235187842661</c:v>
                </c:pt>
                <c:pt idx="10">
                  <c:v>-253.83846567023539</c:v>
                </c:pt>
                <c:pt idx="11">
                  <c:v>0</c:v>
                </c:pt>
              </c:numCache>
            </c:numRef>
          </c:val>
          <c:extLst>
            <c:ext xmlns:c16="http://schemas.microsoft.com/office/drawing/2014/chart" uri="{C3380CC4-5D6E-409C-BE32-E72D297353CC}">
              <c16:uniqueId val="{00000001-3F32-4D36-8554-70FA9A71CDBC}"/>
            </c:ext>
          </c:extLst>
        </c:ser>
        <c:ser>
          <c:idx val="2"/>
          <c:order val="2"/>
          <c:tx>
            <c:strRef>
              <c:f>'Cash Generation - before fundng'!$A$51</c:f>
              <c:strCache>
                <c:ptCount val="1"/>
                <c:pt idx="0">
                  <c:v>Cashstream 4: Taxes</c:v>
                </c:pt>
              </c:strCache>
            </c:strRef>
          </c:tx>
          <c:spPr>
            <a:solidFill>
              <a:srgbClr val="FF0000"/>
            </a:solidFill>
            <a:ln>
              <a:noFill/>
            </a:ln>
          </c:spPr>
          <c:invertIfNegative val="0"/>
          <c:cat>
            <c:numRef>
              <c:f>'Cash Generation - before fundng'!$D$18:$O$18</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'Cash Generation - before fundng'!$D$51:$O$51</c:f>
              <c:numCache>
                <c:formatCode>#,##0_);[Red]\(#,##0\)</c:formatCode>
                <c:ptCount val="12"/>
                <c:pt idx="0">
                  <c:v>0.55639252801991645</c:v>
                </c:pt>
                <c:pt idx="1">
                  <c:v>-24.98051023246158</c:v>
                </c:pt>
                <c:pt idx="2">
                  <c:v>-36.782534674926481</c:v>
                </c:pt>
                <c:pt idx="3">
                  <c:v>-75.758380883933782</c:v>
                </c:pt>
                <c:pt idx="4">
                  <c:v>-131.30462592497753</c:v>
                </c:pt>
                <c:pt idx="5">
                  <c:v>-191.99961158477606</c:v>
                </c:pt>
                <c:pt idx="6">
                  <c:v>-226.63782890308698</c:v>
                </c:pt>
                <c:pt idx="7">
                  <c:v>-232.13818079842304</c:v>
                </c:pt>
                <c:pt idx="8">
                  <c:v>-232.46826304794223</c:v>
                </c:pt>
                <c:pt idx="9">
                  <c:v>-254.34904347440346</c:v>
                </c:pt>
                <c:pt idx="10">
                  <c:v>0</c:v>
                </c:pt>
                <c:pt idx="11">
                  <c:v>0</c:v>
                </c:pt>
              </c:numCache>
            </c:numRef>
          </c:val>
          <c:extLst>
            <c:ext xmlns:c16="http://schemas.microsoft.com/office/drawing/2014/chart" uri="{C3380CC4-5D6E-409C-BE32-E72D297353CC}">
              <c16:uniqueId val="{00000002-3F32-4D36-8554-70FA9A71CDBC}"/>
            </c:ext>
          </c:extLst>
        </c:ser>
        <c:ser>
          <c:idx val="3"/>
          <c:order val="3"/>
          <c:tx>
            <c:strRef>
              <c:f>'Cash Generation - before fundng'!$A$52</c:f>
              <c:strCache>
                <c:ptCount val="1"/>
                <c:pt idx="0">
                  <c:v>Cash Generation - if positive</c:v>
                </c:pt>
              </c:strCache>
            </c:strRef>
          </c:tx>
          <c:spPr>
            <a:solidFill>
              <a:schemeClr val="accent3">
                <a:lumMod val="40000"/>
                <a:lumOff val="60000"/>
              </a:schemeClr>
            </a:solidFill>
            <a:ln>
              <a:solidFill>
                <a:schemeClr val="accent3">
                  <a:lumMod val="75000"/>
                </a:schemeClr>
              </a:solidFill>
            </a:ln>
          </c:spPr>
          <c:invertIfNegative val="0"/>
          <c:cat>
            <c:numRef>
              <c:f>'Cash Generation - before fundng'!$D$18:$O$18</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'Cash Generation - before fundng'!$D$52:$O$52</c:f>
              <c:numCache>
                <c:formatCode>#,##0_);[Red]\(#,##0\)</c:formatCode>
                <c:ptCount val="12"/>
                <c:pt idx="0">
                  <c:v>0</c:v>
                </c:pt>
                <c:pt idx="1">
                  <c:v>0</c:v>
                </c:pt>
                <c:pt idx="2">
                  <c:v>45.467297365231161</c:v>
                </c:pt>
                <c:pt idx="3">
                  <c:v>205.49251740064983</c:v>
                </c:pt>
                <c:pt idx="4">
                  <c:v>311.86521629330309</c:v>
                </c:pt>
                <c:pt idx="5">
                  <c:v>455.60201749368707</c:v>
                </c:pt>
                <c:pt idx="6">
                  <c:v>546.44580925612854</c:v>
                </c:pt>
                <c:pt idx="7">
                  <c:v>563.50871084560549</c:v>
                </c:pt>
                <c:pt idx="8">
                  <c:v>564.4680762998164</c:v>
                </c:pt>
                <c:pt idx="9">
                  <c:v>879.7892840575355</c:v>
                </c:pt>
                <c:pt idx="10">
                  <c:v>88.394366896759664</c:v>
                </c:pt>
                <c:pt idx="11">
                  <c:v>0</c:v>
                </c:pt>
              </c:numCache>
            </c:numRef>
          </c:val>
          <c:extLst>
            <c:ext xmlns:c16="http://schemas.microsoft.com/office/drawing/2014/chart" uri="{C3380CC4-5D6E-409C-BE32-E72D297353CC}">
              <c16:uniqueId val="{00000003-3F32-4D36-8554-70FA9A71CDBC}"/>
            </c:ext>
          </c:extLst>
        </c:ser>
        <c:ser>
          <c:idx val="4"/>
          <c:order val="4"/>
          <c:tx>
            <c:strRef>
              <c:f>'Cash Generation - before fundng'!$A$53</c:f>
              <c:strCache>
                <c:ptCount val="1"/>
                <c:pt idx="0">
                  <c:v>Cash Deficit</c:v>
                </c:pt>
              </c:strCache>
            </c:strRef>
          </c:tx>
          <c:spPr>
            <a:noFill/>
            <a:ln w="38100">
              <a:solidFill>
                <a:srgbClr val="FF66CC"/>
              </a:solidFill>
              <a:prstDash val="sysDash"/>
            </a:ln>
          </c:spPr>
          <c:invertIfNegative val="0"/>
          <c:cat>
            <c:numRef>
              <c:f>'Cash Generation - before fundng'!$D$18:$O$18</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'Cash Generation - before fundng'!$D$53:$O$53</c:f>
              <c:numCache>
                <c:formatCode>#,##0_);[Red]\(#,##0\)</c:formatCode>
                <c:ptCount val="12"/>
                <c:pt idx="0">
                  <c:v>303.31131312031948</c:v>
                </c:pt>
                <c:pt idx="1">
                  <c:v>75.546389027732857</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3F32-4D36-8554-70FA9A71CDBC}"/>
            </c:ext>
          </c:extLst>
        </c:ser>
        <c:dLbls>
          <c:showLegendKey val="0"/>
          <c:showVal val="0"/>
          <c:showCatName val="0"/>
          <c:showSerName val="0"/>
          <c:showPercent val="0"/>
          <c:showBubbleSize val="0"/>
        </c:dLbls>
        <c:gapWidth val="4"/>
        <c:overlap val="100"/>
        <c:axId val="-2073971184"/>
        <c:axId val="2110832256"/>
      </c:barChart>
      <c:catAx>
        <c:axId val="-2073971184"/>
        <c:scaling>
          <c:orientation val="minMax"/>
        </c:scaling>
        <c:delete val="0"/>
        <c:axPos val="b"/>
        <c:numFmt formatCode="0" sourceLinked="1"/>
        <c:majorTickMark val="out"/>
        <c:minorTickMark val="none"/>
        <c:tickLblPos val="nextTo"/>
        <c:txPr>
          <a:bodyPr/>
          <a:lstStyle/>
          <a:p>
            <a:pPr>
              <a:defRPr sz="1000"/>
            </a:pPr>
            <a:endParaRPr lang="en-US"/>
          </a:p>
        </c:txPr>
        <c:crossAx val="2110832256"/>
        <c:crosses val="autoZero"/>
        <c:auto val="1"/>
        <c:lblAlgn val="ctr"/>
        <c:lblOffset val="100"/>
        <c:noMultiLvlLbl val="0"/>
      </c:catAx>
      <c:valAx>
        <c:axId val="2110832256"/>
        <c:scaling>
          <c:orientation val="minMax"/>
        </c:scaling>
        <c:delete val="0"/>
        <c:axPos val="l"/>
        <c:majorGridlines/>
        <c:title>
          <c:tx>
            <c:rich>
              <a:bodyPr rot="-5400000" vert="horz"/>
              <a:lstStyle/>
              <a:p>
                <a:pPr>
                  <a:defRPr sz="1100" b="0"/>
                </a:pPr>
                <a:r>
                  <a:rPr lang="en-US" sz="1100" b="0"/>
                  <a:t>US$ 000 Real</a:t>
                </a:r>
              </a:p>
            </c:rich>
          </c:tx>
          <c:layout>
            <c:manualLayout>
              <c:xMode val="edge"/>
              <c:yMode val="edge"/>
              <c:x val="3.9094311415050036E-3"/>
              <c:y val="0.22609920872180314"/>
            </c:manualLayout>
          </c:layout>
          <c:overlay val="0"/>
        </c:title>
        <c:numFmt formatCode="#,##0" sourceLinked="0"/>
        <c:majorTickMark val="out"/>
        <c:minorTickMark val="none"/>
        <c:tickLblPos val="nextTo"/>
        <c:txPr>
          <a:bodyPr/>
          <a:lstStyle/>
          <a:p>
            <a:pPr>
              <a:defRPr sz="1000" b="0" baseline="0"/>
            </a:pPr>
            <a:endParaRPr lang="en-US"/>
          </a:p>
        </c:txPr>
        <c:crossAx val="-2073971184"/>
        <c:crosses val="autoZero"/>
        <c:crossBetween val="between"/>
      </c:valAx>
    </c:plotArea>
    <c:legend>
      <c:legendPos val="r"/>
      <c:layout>
        <c:manualLayout>
          <c:xMode val="edge"/>
          <c:yMode val="edge"/>
          <c:x val="0.67877837484894854"/>
          <c:y val="0.138914643136581"/>
          <c:w val="0.31567221566355097"/>
          <c:h val="0.76812131682850404"/>
        </c:manualLayout>
      </c:layout>
      <c:overlay val="0"/>
      <c:spPr>
        <a:solidFill>
          <a:schemeClr val="bg1"/>
        </a:solidFill>
      </c:spPr>
      <c:txPr>
        <a:bodyPr/>
        <a:lstStyle/>
        <a:p>
          <a:pPr>
            <a:defRPr sz="1000" b="1"/>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Debt &amp; Equity</a:t>
            </a:r>
          </a:p>
        </c:rich>
      </c:tx>
      <c:layout>
        <c:manualLayout>
          <c:xMode val="edge"/>
          <c:yMode val="edge"/>
          <c:x val="0.1217727102728917"/>
          <c:y val="9.2992289130180067E-2"/>
        </c:manualLayout>
      </c:layout>
      <c:overlay val="1"/>
    </c:title>
    <c:autoTitleDeleted val="0"/>
    <c:plotArea>
      <c:layout>
        <c:manualLayout>
          <c:layoutTarget val="inner"/>
          <c:xMode val="edge"/>
          <c:yMode val="edge"/>
          <c:x val="0.11514296532908726"/>
          <c:y val="0.12152704901569161"/>
          <c:w val="0.45376564365952404"/>
          <c:h val="0.78019541066844"/>
        </c:manualLayout>
      </c:layout>
      <c:barChart>
        <c:barDir val="col"/>
        <c:grouping val="stacked"/>
        <c:varyColors val="0"/>
        <c:ser>
          <c:idx val="5"/>
          <c:order val="0"/>
          <c:tx>
            <c:strRef>
              <c:f>'Project funding (Nominal)'!$A$27</c:f>
              <c:strCache>
                <c:ptCount val="1"/>
                <c:pt idx="0">
                  <c:v>Net Cash Flow before project funding - Nominal</c:v>
                </c:pt>
              </c:strCache>
            </c:strRef>
          </c:tx>
          <c:spPr>
            <a:solidFill>
              <a:srgbClr val="92D050"/>
            </a:solidFill>
            <a:ln w="60325">
              <a:noFill/>
            </a:ln>
          </c:spPr>
          <c:invertIfNegative val="0"/>
          <c:cat>
            <c:numRef>
              <c:f>'Project funding (Nominal)'!$D$16:$O$16</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'Project funding (Nominal)'!$D$27:$O$27</c:f>
              <c:numCache>
                <c:formatCode>#,##0_);[Red]\(#,##0\)</c:formatCode>
                <c:ptCount val="12"/>
                <c:pt idx="0">
                  <c:v>-306.32941047197534</c:v>
                </c:pt>
                <c:pt idx="1">
                  <c:v>-77.824075164223089</c:v>
                </c:pt>
                <c:pt idx="2">
                  <c:v>47.774876092280401</c:v>
                </c:pt>
                <c:pt idx="3">
                  <c:v>220.24021061560725</c:v>
                </c:pt>
                <c:pt idx="4">
                  <c:v>340.93195715699488</c:v>
                </c:pt>
                <c:pt idx="5">
                  <c:v>508.02675316624055</c:v>
                </c:pt>
                <c:pt idx="6">
                  <c:v>621.51013645756541</c:v>
                </c:pt>
                <c:pt idx="7">
                  <c:v>653.73527847972275</c:v>
                </c:pt>
                <c:pt idx="8">
                  <c:v>667.94521843151495</c:v>
                </c:pt>
                <c:pt idx="9">
                  <c:v>1061.8918794362685</c:v>
                </c:pt>
                <c:pt idx="10">
                  <c:v>108.82442800613779</c:v>
                </c:pt>
                <c:pt idx="11">
                  <c:v>0</c:v>
                </c:pt>
              </c:numCache>
            </c:numRef>
          </c:val>
          <c:extLst>
            <c:ext xmlns:c16="http://schemas.microsoft.com/office/drawing/2014/chart" uri="{C3380CC4-5D6E-409C-BE32-E72D297353CC}">
              <c16:uniqueId val="{00000000-00E8-4BEC-B17C-003297B094EA}"/>
            </c:ext>
          </c:extLst>
        </c:ser>
        <c:ser>
          <c:idx val="0"/>
          <c:order val="1"/>
          <c:tx>
            <c:strRef>
              <c:f>'Project funding (Nominal)'!$A$34</c:f>
              <c:strCache>
                <c:ptCount val="1"/>
                <c:pt idx="0">
                  <c:v>2 b. Donations</c:v>
                </c:pt>
              </c:strCache>
            </c:strRef>
          </c:tx>
          <c:spPr>
            <a:solidFill>
              <a:srgbClr val="FFFF00"/>
            </a:solidFill>
            <a:ln>
              <a:solidFill>
                <a:srgbClr val="FF0000"/>
              </a:solidFill>
              <a:prstDash val="sysDash"/>
            </a:ln>
          </c:spPr>
          <c:invertIfNegative val="0"/>
          <c:cat>
            <c:numRef>
              <c:f>'Project funding (Nominal)'!$D$16:$O$16</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'Project funding (Nominal)'!$D$34:$O$34</c:f>
              <c:numCache>
                <c:formatCode>#,##0</c:formatCode>
                <c:ptCount val="12"/>
                <c:pt idx="0">
                  <c:v>0</c:v>
                </c:pt>
                <c:pt idx="1">
                  <c:v>0</c:v>
                </c:pt>
                <c:pt idx="2">
                  <c:v>100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A8D-4D8C-B16E-7A3250D89E54}"/>
            </c:ext>
          </c:extLst>
        </c:ser>
        <c:dLbls>
          <c:showLegendKey val="0"/>
          <c:showVal val="0"/>
          <c:showCatName val="0"/>
          <c:showSerName val="0"/>
          <c:showPercent val="0"/>
          <c:showBubbleSize val="0"/>
        </c:dLbls>
        <c:gapWidth val="30"/>
        <c:overlap val="100"/>
        <c:axId val="-2143009392"/>
        <c:axId val="-2143017696"/>
      </c:barChart>
      <c:lineChart>
        <c:grouping val="standard"/>
        <c:varyColors val="0"/>
        <c:ser>
          <c:idx val="2"/>
          <c:order val="2"/>
          <c:tx>
            <c:strRef>
              <c:f>'Project funding (Nominal)'!$A$60</c:f>
              <c:strCache>
                <c:ptCount val="1"/>
                <c:pt idx="0">
                  <c:v>closing balance of equity funds invested</c:v>
                </c:pt>
              </c:strCache>
            </c:strRef>
          </c:tx>
          <c:spPr>
            <a:ln w="28575">
              <a:solidFill>
                <a:schemeClr val="accent6">
                  <a:lumMod val="50000"/>
                </a:schemeClr>
              </a:solidFill>
            </a:ln>
          </c:spPr>
          <c:marker>
            <c:symbol val="none"/>
          </c:marker>
          <c:cat>
            <c:numRef>
              <c:f>'Project funding (Nominal)'!$D$16:$O$16</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'Project funding (Nominal)'!$D$60:$O$60</c:f>
              <c:numCache>
                <c:formatCode>#,##0_);[Red]\(#,##0\)</c:formatCode>
                <c:ptCount val="12"/>
                <c:pt idx="0">
                  <c:v>159.29129344542716</c:v>
                </c:pt>
                <c:pt idx="1">
                  <c:v>218.13957715914168</c:v>
                </c:pt>
                <c:pt idx="2">
                  <c:v>218.13957715914168</c:v>
                </c:pt>
                <c:pt idx="3">
                  <c:v>218.13957715914168</c:v>
                </c:pt>
                <c:pt idx="4">
                  <c:v>218.13957715914168</c:v>
                </c:pt>
                <c:pt idx="5">
                  <c:v>218.13957715914168</c:v>
                </c:pt>
                <c:pt idx="6">
                  <c:v>218.13957715914168</c:v>
                </c:pt>
                <c:pt idx="7">
                  <c:v>218.13957715914168</c:v>
                </c:pt>
                <c:pt idx="8">
                  <c:v>218.13957715914168</c:v>
                </c:pt>
                <c:pt idx="9">
                  <c:v>218.13957715914168</c:v>
                </c:pt>
                <c:pt idx="10">
                  <c:v>218.13957715914168</c:v>
                </c:pt>
                <c:pt idx="11">
                  <c:v>218.13957715914168</c:v>
                </c:pt>
              </c:numCache>
            </c:numRef>
          </c:val>
          <c:smooth val="0"/>
          <c:extLst>
            <c:ext xmlns:c16="http://schemas.microsoft.com/office/drawing/2014/chart" uri="{C3380CC4-5D6E-409C-BE32-E72D297353CC}">
              <c16:uniqueId val="{00000003-00E8-4BEC-B17C-003297B094EA}"/>
            </c:ext>
          </c:extLst>
        </c:ser>
        <c:ser>
          <c:idx val="1"/>
          <c:order val="3"/>
          <c:tx>
            <c:strRef>
              <c:f>'Project funding (Nominal)'!$A$46</c:f>
              <c:strCache>
                <c:ptCount val="1"/>
                <c:pt idx="0">
                  <c:v>project loan - closing balance</c:v>
                </c:pt>
              </c:strCache>
            </c:strRef>
          </c:tx>
          <c:spPr>
            <a:ln w="60325">
              <a:solidFill>
                <a:srgbClr val="0033CC"/>
              </a:solidFill>
              <a:prstDash val="sysDash"/>
            </a:ln>
          </c:spPr>
          <c:marker>
            <c:symbol val="none"/>
          </c:marker>
          <c:cat>
            <c:numRef>
              <c:f>'Project funding (Nominal)'!$D$16:$O$16</c:f>
              <c:numCache>
                <c:formatCode>0</c:formatCode>
                <c:ptCount val="12"/>
                <c:pt idx="0">
                  <c:v>2026</c:v>
                </c:pt>
                <c:pt idx="1">
                  <c:v>2027</c:v>
                </c:pt>
                <c:pt idx="2">
                  <c:v>2028</c:v>
                </c:pt>
                <c:pt idx="3">
                  <c:v>2029</c:v>
                </c:pt>
                <c:pt idx="4">
                  <c:v>2030</c:v>
                </c:pt>
                <c:pt idx="5">
                  <c:v>2031</c:v>
                </c:pt>
                <c:pt idx="6">
                  <c:v>2032</c:v>
                </c:pt>
                <c:pt idx="7">
                  <c:v>2033</c:v>
                </c:pt>
                <c:pt idx="8">
                  <c:v>2034</c:v>
                </c:pt>
                <c:pt idx="9">
                  <c:v>2035</c:v>
                </c:pt>
                <c:pt idx="10">
                  <c:v>2036</c:v>
                </c:pt>
                <c:pt idx="11">
                  <c:v>2037</c:v>
                </c:pt>
              </c:numCache>
            </c:numRef>
          </c:cat>
          <c:val>
            <c:numRef>
              <c:f>'Project funding (Nominal)'!$D$46:$O$46</c:f>
              <c:numCache>
                <c:formatCode>#,##0_);[Red]\(#,##0\)</c:formatCode>
                <c:ptCount val="12"/>
                <c:pt idx="0">
                  <c:v>153.16470523598767</c:v>
                </c:pt>
                <c:pt idx="1">
                  <c:v>192.07674281809921</c:v>
                </c:pt>
                <c:pt idx="2">
                  <c:v>44.301866725818797</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0E8-4BEC-B17C-003297B094EA}"/>
            </c:ext>
          </c:extLst>
        </c:ser>
        <c:dLbls>
          <c:showLegendKey val="0"/>
          <c:showVal val="0"/>
          <c:showCatName val="0"/>
          <c:showSerName val="0"/>
          <c:showPercent val="0"/>
          <c:showBubbleSize val="0"/>
        </c:dLbls>
        <c:marker val="1"/>
        <c:smooth val="0"/>
        <c:axId val="-2143009392"/>
        <c:axId val="-2143017696"/>
      </c:lineChart>
      <c:catAx>
        <c:axId val="-2143009392"/>
        <c:scaling>
          <c:orientation val="minMax"/>
        </c:scaling>
        <c:delete val="0"/>
        <c:axPos val="b"/>
        <c:numFmt formatCode="0" sourceLinked="1"/>
        <c:majorTickMark val="out"/>
        <c:minorTickMark val="none"/>
        <c:tickLblPos val="nextTo"/>
        <c:txPr>
          <a:bodyPr/>
          <a:lstStyle/>
          <a:p>
            <a:pPr>
              <a:defRPr sz="1000"/>
            </a:pPr>
            <a:endParaRPr lang="en-US"/>
          </a:p>
        </c:txPr>
        <c:crossAx val="-2143017696"/>
        <c:crosses val="autoZero"/>
        <c:auto val="1"/>
        <c:lblAlgn val="ctr"/>
        <c:lblOffset val="100"/>
        <c:noMultiLvlLbl val="0"/>
      </c:catAx>
      <c:valAx>
        <c:axId val="-2143017696"/>
        <c:scaling>
          <c:orientation val="minMax"/>
        </c:scaling>
        <c:delete val="0"/>
        <c:axPos val="l"/>
        <c:majorGridlines/>
        <c:title>
          <c:tx>
            <c:rich>
              <a:bodyPr rot="-5400000" vert="horz"/>
              <a:lstStyle/>
              <a:p>
                <a:pPr>
                  <a:defRPr sz="1200" b="0"/>
                </a:pPr>
                <a:r>
                  <a:rPr lang="en-US" sz="1200" b="0"/>
                  <a:t>US$ 000 Nominal</a:t>
                </a:r>
              </a:p>
            </c:rich>
          </c:tx>
          <c:layout>
            <c:manualLayout>
              <c:xMode val="edge"/>
              <c:yMode val="edge"/>
              <c:x val="1.0323822279946999E-2"/>
              <c:y val="0.29426808438146801"/>
            </c:manualLayout>
          </c:layout>
          <c:overlay val="0"/>
        </c:title>
        <c:numFmt formatCode="#,##0" sourceLinked="0"/>
        <c:majorTickMark val="out"/>
        <c:minorTickMark val="none"/>
        <c:tickLblPos val="nextTo"/>
        <c:txPr>
          <a:bodyPr/>
          <a:lstStyle/>
          <a:p>
            <a:pPr>
              <a:defRPr sz="1000" b="0" baseline="0"/>
            </a:pPr>
            <a:endParaRPr lang="en-US"/>
          </a:p>
        </c:txPr>
        <c:crossAx val="-2143009392"/>
        <c:crosses val="autoZero"/>
        <c:crossBetween val="between"/>
      </c:valAx>
    </c:plotArea>
    <c:legend>
      <c:legendPos val="r"/>
      <c:layout>
        <c:manualLayout>
          <c:xMode val="edge"/>
          <c:yMode val="edge"/>
          <c:x val="0.56767097904688779"/>
          <c:y val="0.12389092114653"/>
          <c:w val="0.43232902095311226"/>
          <c:h val="0.77679681699288883"/>
        </c:manualLayout>
      </c:layout>
      <c:overlay val="0"/>
      <c:spPr>
        <a:solidFill>
          <a:schemeClr val="bg1"/>
        </a:solidFill>
      </c:spPr>
      <c:txPr>
        <a:bodyPr/>
        <a:lstStyle/>
        <a:p>
          <a:pPr>
            <a:defRPr sz="1000" b="1"/>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customXml" Target="../ink/ink1.xml"/><Relationship Id="rId7" Type="http://schemas.openxmlformats.org/officeDocument/2006/relationships/customXml" Target="../ink/ink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_rels/drawing2.xml.rels><?xml version="1.0" encoding="UTF-8" standalone="yes"?>
<Relationships xmlns="http://schemas.openxmlformats.org/package/2006/relationships"><Relationship Id="rId3" Type="http://schemas.openxmlformats.org/officeDocument/2006/relationships/customXml" Target="../ink/ink7.xml"/><Relationship Id="rId2" Type="http://schemas.openxmlformats.org/officeDocument/2006/relationships/customXml" Target="../ink/ink6.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ustomXml" Target="../ink/ink9.xml"/><Relationship Id="rId2" Type="http://schemas.openxmlformats.org/officeDocument/2006/relationships/customXml" Target="../ink/ink8.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140607</xdr:colOff>
      <xdr:row>2</xdr:row>
      <xdr:rowOff>65860</xdr:rowOff>
    </xdr:from>
    <xdr:to>
      <xdr:col>1</xdr:col>
      <xdr:colOff>857250</xdr:colOff>
      <xdr:row>11</xdr:row>
      <xdr:rowOff>85725</xdr:rowOff>
    </xdr:to>
    <xdr:graphicFrame macro="">
      <xdr:nvGraphicFramePr>
        <xdr:cNvPr id="8322372" name="Chart 2">
          <a:extLst>
            <a:ext uri="{FF2B5EF4-FFF2-40B4-BE49-F238E27FC236}">
              <a16:creationId xmlns:a16="http://schemas.microsoft.com/office/drawing/2014/main" id="{00000000-0008-0000-0100-000044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1191805</xdr:colOff>
      <xdr:row>2</xdr:row>
      <xdr:rowOff>125186</xdr:rowOff>
    </xdr:from>
    <xdr:to>
      <xdr:col>6</xdr:col>
      <xdr:colOff>666750</xdr:colOff>
      <xdr:row>11</xdr:row>
      <xdr:rowOff>209550</xdr:rowOff>
    </xdr:to>
    <xdr:graphicFrame macro="">
      <xdr:nvGraphicFramePr>
        <xdr:cNvPr id="14" name="Chart 2">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895258</xdr:colOff>
      <xdr:row>26</xdr:row>
      <xdr:rowOff>27214</xdr:rowOff>
    </xdr:from>
    <xdr:to>
      <xdr:col>7</xdr:col>
      <xdr:colOff>190500</xdr:colOff>
      <xdr:row>27</xdr:row>
      <xdr:rowOff>28575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724308" y="6113689"/>
          <a:ext cx="5029292" cy="391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200" b="1">
              <a:solidFill>
                <a:schemeClr val="accent6">
                  <a:lumMod val="75000"/>
                </a:schemeClr>
              </a:solidFill>
            </a:rPr>
            <a:t>Insert the level of sales in 2026 here     and insert growth rates here.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400" b="1" i="0" u="none" strike="noStrike" kern="0" cap="none" spc="0" normalizeH="0" baseline="0" noProof="0">
            <a:ln>
              <a:noFill/>
            </a:ln>
            <a:solidFill>
              <a:schemeClr val="accent6">
                <a:lumMod val="75000"/>
              </a:schemeClr>
            </a:solidFill>
            <a:effectLst/>
            <a:uLnTx/>
            <a:uFillTx/>
            <a:latin typeface="+mn-lt"/>
            <a:ea typeface="+mn-ea"/>
            <a:cs typeface="+mn-cs"/>
          </a:endParaRPr>
        </a:p>
        <a:p>
          <a:endParaRPr lang="en-AU" sz="1200" b="1">
            <a:solidFill>
              <a:schemeClr val="accent6">
                <a:lumMod val="75000"/>
              </a:schemeClr>
            </a:solidFill>
          </a:endParaRPr>
        </a:p>
        <a:p>
          <a:endParaRPr lang="en-AU" sz="1200" b="1">
            <a:solidFill>
              <a:schemeClr val="accent6">
                <a:lumMod val="75000"/>
              </a:schemeClr>
            </a:solidFill>
          </a:endParaRPr>
        </a:p>
      </xdr:txBody>
    </xdr:sp>
    <xdr:clientData/>
  </xdr:twoCellAnchor>
  <xdr:twoCellAnchor>
    <xdr:from>
      <xdr:col>2</xdr:col>
      <xdr:colOff>320040</xdr:colOff>
      <xdr:row>26</xdr:row>
      <xdr:rowOff>349680</xdr:rowOff>
    </xdr:from>
    <xdr:to>
      <xdr:col>2</xdr:col>
      <xdr:colOff>320400</xdr:colOff>
      <xdr:row>26</xdr:row>
      <xdr:rowOff>350040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Ink 3">
              <a:extLst>
                <a:ext uri="{FF2B5EF4-FFF2-40B4-BE49-F238E27FC236}">
                  <a16:creationId xmlns:a16="http://schemas.microsoft.com/office/drawing/2014/main" id="{00000000-0008-0000-0100-000004000000}"/>
                </a:ext>
              </a:extLst>
            </xdr14:cNvPr>
            <xdr14:cNvContentPartPr/>
          </xdr14:nvContentPartPr>
          <xdr14:nvPr macro=""/>
          <xdr14:xfrm>
            <a:off x="7955280" y="9707040"/>
            <a:ext cx="360" cy="360"/>
          </xdr14:xfrm>
        </xdr:contentPart>
      </mc:Choice>
      <mc:Fallback xmlns="">
        <xdr:pic>
          <xdr:nvPicPr>
            <xdr:cNvPr id="4" name="Ink 3"/>
            <xdr:cNvPicPr/>
          </xdr:nvPicPr>
          <xdr:blipFill/>
          <xdr:spPr/>
        </xdr:pic>
      </mc:Fallback>
    </mc:AlternateContent>
    <xdr:clientData/>
  </xdr:twoCellAnchor>
  <xdr:twoCellAnchor>
    <xdr:from>
      <xdr:col>3</xdr:col>
      <xdr:colOff>28575</xdr:colOff>
      <xdr:row>26</xdr:row>
      <xdr:rowOff>238125</xdr:rowOff>
    </xdr:from>
    <xdr:to>
      <xdr:col>3</xdr:col>
      <xdr:colOff>326572</xdr:colOff>
      <xdr:row>33</xdr:row>
      <xdr:rowOff>84818</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6276975" y="6324600"/>
          <a:ext cx="297997" cy="1599293"/>
        </a:xfrm>
        <a:prstGeom prst="straightConnector1">
          <a:avLst/>
        </a:prstGeom>
        <a:ln w="19050">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892989</xdr:colOff>
      <xdr:row>39</xdr:row>
      <xdr:rowOff>69487</xdr:rowOff>
    </xdr:from>
    <xdr:to>
      <xdr:col>12</xdr:col>
      <xdr:colOff>145142</xdr:colOff>
      <xdr:row>40</xdr:row>
      <xdr:rowOff>28575</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6084114" y="8575312"/>
          <a:ext cx="7767503" cy="3496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0">
              <a:solidFill>
                <a:schemeClr val="accent6">
                  <a:lumMod val="75000"/>
                </a:schemeClr>
              </a:solidFill>
            </a:rPr>
            <a:t>Insert prices for 2026 here in </a:t>
          </a:r>
          <a:r>
            <a:rPr lang="en-AU" sz="1200" b="0" u="sng">
              <a:solidFill>
                <a:schemeClr val="accent6">
                  <a:lumMod val="75000"/>
                </a:schemeClr>
              </a:solidFill>
            </a:rPr>
            <a:t>real terms .</a:t>
          </a:r>
          <a:r>
            <a:rPr lang="en-AU" sz="1200" b="0" baseline="0">
              <a:solidFill>
                <a:schemeClr val="accent6">
                  <a:lumMod val="75000"/>
                </a:schemeClr>
              </a:solidFill>
            </a:rPr>
            <a:t>  </a:t>
          </a:r>
          <a:r>
            <a:rPr lang="en-AU" sz="1200" b="0">
              <a:solidFill>
                <a:schemeClr val="accent6">
                  <a:lumMod val="75000"/>
                </a:schemeClr>
              </a:solidFill>
            </a:rPr>
            <a:t>Insert the annual decrease in real prices here (omit</a:t>
          </a:r>
          <a:r>
            <a:rPr lang="en-AU" sz="1200" b="0" baseline="0">
              <a:solidFill>
                <a:schemeClr val="accent6">
                  <a:lumMod val="75000"/>
                </a:schemeClr>
              </a:solidFill>
            </a:rPr>
            <a:t> inflation)</a:t>
          </a:r>
          <a:endParaRPr lang="en-AU" sz="1200" b="0">
            <a:solidFill>
              <a:schemeClr val="accent6">
                <a:lumMod val="75000"/>
              </a:schemeClr>
            </a:solidFill>
          </a:endParaRPr>
        </a:p>
      </xdr:txBody>
    </xdr:sp>
    <xdr:clientData/>
  </xdr:twoCellAnchor>
  <xdr:twoCellAnchor>
    <xdr:from>
      <xdr:col>2</xdr:col>
      <xdr:colOff>320040</xdr:colOff>
      <xdr:row>39</xdr:row>
      <xdr:rowOff>349680</xdr:rowOff>
    </xdr:from>
    <xdr:to>
      <xdr:col>2</xdr:col>
      <xdr:colOff>320400</xdr:colOff>
      <xdr:row>39</xdr:row>
      <xdr:rowOff>350040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7" name="Ink 16">
              <a:extLst>
                <a:ext uri="{FF2B5EF4-FFF2-40B4-BE49-F238E27FC236}">
                  <a16:creationId xmlns:a16="http://schemas.microsoft.com/office/drawing/2014/main" id="{00000000-0008-0000-0100-000011000000}"/>
                </a:ext>
              </a:extLst>
            </xdr14:cNvPr>
            <xdr14:cNvContentPartPr/>
          </xdr14:nvContentPartPr>
          <xdr14:nvPr macro=""/>
          <xdr14:xfrm>
            <a:off x="7955280" y="9707040"/>
            <a:ext cx="360" cy="360"/>
          </xdr14:xfrm>
        </xdr:contentPart>
      </mc:Choice>
      <mc:Fallback xmlns="">
        <xdr:pic>
          <xdr:nvPicPr>
            <xdr:cNvPr id="17" name="Ink 16"/>
            <xdr:cNvPicPr/>
          </xdr:nvPicPr>
          <xdr:blipFill/>
          <xdr:spPr/>
        </xdr:pic>
      </mc:Fallback>
    </mc:AlternateContent>
    <xdr:clientData/>
  </xdr:twoCellAnchor>
  <xdr:twoCellAnchor>
    <xdr:from>
      <xdr:col>4</xdr:col>
      <xdr:colOff>549729</xdr:colOff>
      <xdr:row>39</xdr:row>
      <xdr:rowOff>276225</xdr:rowOff>
    </xdr:from>
    <xdr:to>
      <xdr:col>6</xdr:col>
      <xdr:colOff>228600</xdr:colOff>
      <xdr:row>42</xdr:row>
      <xdr:rowOff>114300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flipH="1">
          <a:off x="7626804" y="8782050"/>
          <a:ext cx="1336221" cy="581025"/>
        </a:xfrm>
        <a:prstGeom prst="straightConnector1">
          <a:avLst/>
        </a:prstGeom>
        <a:ln w="19050">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466725</xdr:colOff>
      <xdr:row>39</xdr:row>
      <xdr:rowOff>292100</xdr:rowOff>
    </xdr:from>
    <xdr:to>
      <xdr:col>4</xdr:col>
      <xdr:colOff>254000</xdr:colOff>
      <xdr:row>45</xdr:row>
      <xdr:rowOff>142875</xdr:rowOff>
    </xdr:to>
    <xdr:cxnSp macro="">
      <xdr:nvCxnSpPr>
        <xdr:cNvPr id="19" name="Straight Arrow Connector 18">
          <a:extLst>
            <a:ext uri="{FF2B5EF4-FFF2-40B4-BE49-F238E27FC236}">
              <a16:creationId xmlns:a16="http://schemas.microsoft.com/office/drawing/2014/main" id="{00000000-0008-0000-0100-000013000000}"/>
            </a:ext>
          </a:extLst>
        </xdr:cNvPr>
        <xdr:cNvCxnSpPr/>
      </xdr:nvCxnSpPr>
      <xdr:spPr>
        <a:xfrm flipH="1">
          <a:off x="6715125" y="8797925"/>
          <a:ext cx="615950" cy="1079500"/>
        </a:xfrm>
        <a:prstGeom prst="straightConnector1">
          <a:avLst/>
        </a:prstGeom>
        <a:ln w="19050">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320040</xdr:colOff>
      <xdr:row>62</xdr:row>
      <xdr:rowOff>349680</xdr:rowOff>
    </xdr:from>
    <xdr:to>
      <xdr:col>2</xdr:col>
      <xdr:colOff>320400</xdr:colOff>
      <xdr:row>62</xdr:row>
      <xdr:rowOff>350040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0" name="Ink 19">
              <a:extLst>
                <a:ext uri="{FF2B5EF4-FFF2-40B4-BE49-F238E27FC236}">
                  <a16:creationId xmlns:a16="http://schemas.microsoft.com/office/drawing/2014/main" id="{00000000-0008-0000-0100-000014000000}"/>
                </a:ext>
              </a:extLst>
            </xdr14:cNvPr>
            <xdr14:cNvContentPartPr/>
          </xdr14:nvContentPartPr>
          <xdr14:nvPr macro=""/>
          <xdr14:xfrm>
            <a:off x="7955280" y="9707040"/>
            <a:ext cx="360" cy="360"/>
          </xdr14:xfrm>
        </xdr:contentPart>
      </mc:Choice>
      <mc:Fallback xmlns="">
        <xdr:pic>
          <xdr:nvPicPr>
            <xdr:cNvPr id="4" name="Ink 3"/>
            <xdr:cNvPicPr/>
          </xdr:nvPicPr>
          <xdr:blipFill/>
          <xdr:spPr/>
        </xdr:pic>
      </mc:Fallback>
    </mc:AlternateContent>
    <xdr:clientData/>
  </xdr:twoCellAnchor>
  <xdr:twoCellAnchor>
    <xdr:from>
      <xdr:col>2</xdr:col>
      <xdr:colOff>320040</xdr:colOff>
      <xdr:row>56</xdr:row>
      <xdr:rowOff>349680</xdr:rowOff>
    </xdr:from>
    <xdr:to>
      <xdr:col>2</xdr:col>
      <xdr:colOff>320400</xdr:colOff>
      <xdr:row>56</xdr:row>
      <xdr:rowOff>350040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24" name="Ink 23">
              <a:extLst>
                <a:ext uri="{FF2B5EF4-FFF2-40B4-BE49-F238E27FC236}">
                  <a16:creationId xmlns:a16="http://schemas.microsoft.com/office/drawing/2014/main" id="{00000000-0008-0000-0100-000018000000}"/>
                </a:ext>
              </a:extLst>
            </xdr14:cNvPr>
            <xdr14:cNvContentPartPr/>
          </xdr14:nvContentPartPr>
          <xdr14:nvPr macro=""/>
          <xdr14:xfrm>
            <a:off x="7955280" y="9707040"/>
            <a:ext cx="360" cy="360"/>
          </xdr14:xfrm>
        </xdr:contentPart>
      </mc:Choice>
      <mc:Fallback xmlns="">
        <xdr:pic>
          <xdr:nvPicPr>
            <xdr:cNvPr id="4" name="Ink 3"/>
            <xdr:cNvPicPr/>
          </xdr:nvPicPr>
          <xdr:blipFill/>
          <xdr:spPr/>
        </xdr:pic>
      </mc:Fallback>
    </mc:AlternateContent>
    <xdr:clientData/>
  </xdr:twoCellAnchor>
  <xdr:twoCellAnchor>
    <xdr:from>
      <xdr:col>2</xdr:col>
      <xdr:colOff>320040</xdr:colOff>
      <xdr:row>73</xdr:row>
      <xdr:rowOff>349680</xdr:rowOff>
    </xdr:from>
    <xdr:to>
      <xdr:col>2</xdr:col>
      <xdr:colOff>320400</xdr:colOff>
      <xdr:row>73</xdr:row>
      <xdr:rowOff>350040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27" name="Ink 26">
              <a:extLst>
                <a:ext uri="{FF2B5EF4-FFF2-40B4-BE49-F238E27FC236}">
                  <a16:creationId xmlns:a16="http://schemas.microsoft.com/office/drawing/2014/main" id="{00000000-0008-0000-0100-00001B000000}"/>
                </a:ext>
              </a:extLst>
            </xdr14:cNvPr>
            <xdr14:cNvContentPartPr/>
          </xdr14:nvContentPartPr>
          <xdr14:nvPr macro=""/>
          <xdr14:xfrm>
            <a:off x="7955280" y="9707040"/>
            <a:ext cx="360" cy="360"/>
          </xdr14:xfrm>
        </xdr:contentPart>
      </mc:Choice>
      <mc:Fallback xmlns="">
        <xdr:pic>
          <xdr:nvPicPr>
            <xdr:cNvPr id="4" name="Ink 3"/>
            <xdr:cNvPicPr/>
          </xdr:nvPicPr>
          <xdr:blipFill/>
          <xdr:spPr/>
        </xdr:pic>
      </mc:Fallback>
    </mc:AlternateContent>
    <xdr:clientData/>
  </xdr:twoCellAnchor>
  <xdr:twoCellAnchor>
    <xdr:from>
      <xdr:col>0</xdr:col>
      <xdr:colOff>173355</xdr:colOff>
      <xdr:row>12</xdr:row>
      <xdr:rowOff>85725</xdr:rowOff>
    </xdr:from>
    <xdr:to>
      <xdr:col>2</xdr:col>
      <xdr:colOff>552450</xdr:colOff>
      <xdr:row>22</xdr:row>
      <xdr:rowOff>28575</xdr:rowOff>
    </xdr:to>
    <xdr:graphicFrame macro="">
      <xdr:nvGraphicFramePr>
        <xdr:cNvPr id="29" name="Chart 2">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675821</xdr:colOff>
      <xdr:row>63</xdr:row>
      <xdr:rowOff>181428</xdr:rowOff>
    </xdr:from>
    <xdr:to>
      <xdr:col>11</xdr:col>
      <xdr:colOff>158750</xdr:colOff>
      <xdr:row>64</xdr:row>
      <xdr:rowOff>95250</xdr:rowOff>
    </xdr:to>
    <xdr:sp macro="" textlink="">
      <xdr:nvSpPr>
        <xdr:cNvPr id="25" name="TextBox 24">
          <a:extLst>
            <a:ext uri="{FF2B5EF4-FFF2-40B4-BE49-F238E27FC236}">
              <a16:creationId xmlns:a16="http://schemas.microsoft.com/office/drawing/2014/main" id="{1869A518-4343-42EA-8930-8F09736A1F8E}"/>
            </a:ext>
          </a:extLst>
        </xdr:cNvPr>
        <xdr:cNvSpPr txBox="1"/>
      </xdr:nvSpPr>
      <xdr:spPr>
        <a:xfrm>
          <a:off x="6644821" y="24565428"/>
          <a:ext cx="5832929" cy="2789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a:solidFill>
                <a:schemeClr val="accent6">
                  <a:lumMod val="75000"/>
                </a:schemeClr>
              </a:solidFill>
            </a:rPr>
            <a:t>Insert forecast</a:t>
          </a:r>
          <a:r>
            <a:rPr lang="en-AU" sz="1200" b="1" baseline="0">
              <a:solidFill>
                <a:schemeClr val="accent6">
                  <a:lumMod val="75000"/>
                </a:schemeClr>
              </a:solidFill>
            </a:rPr>
            <a:t> of </a:t>
          </a:r>
          <a:r>
            <a:rPr lang="en-AU" sz="1200" b="1">
              <a:solidFill>
                <a:schemeClr val="accent6">
                  <a:lumMod val="75000"/>
                </a:schemeClr>
              </a:solidFill>
            </a:rPr>
            <a:t>sales outside Bangla Desh as a percentage of sales</a:t>
          </a:r>
          <a:r>
            <a:rPr lang="en-AU" sz="1200" b="1" baseline="0">
              <a:solidFill>
                <a:schemeClr val="accent6">
                  <a:lumMod val="75000"/>
                </a:schemeClr>
              </a:solidFill>
            </a:rPr>
            <a:t> </a:t>
          </a:r>
          <a:r>
            <a:rPr lang="en-AU" sz="1200" b="1">
              <a:solidFill>
                <a:schemeClr val="accent6">
                  <a:lumMod val="75000"/>
                </a:schemeClr>
              </a:solidFill>
            </a:rPr>
            <a:t>inside Bangla Desh</a:t>
          </a:r>
        </a:p>
      </xdr:txBody>
    </xdr:sp>
    <xdr:clientData/>
  </xdr:twoCellAnchor>
  <xdr:twoCellAnchor>
    <xdr:from>
      <xdr:col>3</xdr:col>
      <xdr:colOff>381000</xdr:colOff>
      <xdr:row>56</xdr:row>
      <xdr:rowOff>76200</xdr:rowOff>
    </xdr:from>
    <xdr:to>
      <xdr:col>5</xdr:col>
      <xdr:colOff>581932</xdr:colOff>
      <xdr:row>57</xdr:row>
      <xdr:rowOff>105681</xdr:rowOff>
    </xdr:to>
    <xdr:sp macro="" textlink="">
      <xdr:nvSpPr>
        <xdr:cNvPr id="35" name="TextBox 34">
          <a:extLst>
            <a:ext uri="{FF2B5EF4-FFF2-40B4-BE49-F238E27FC236}">
              <a16:creationId xmlns:a16="http://schemas.microsoft.com/office/drawing/2014/main" id="{E161FD66-B12B-466B-82C2-2164223E473E}"/>
            </a:ext>
          </a:extLst>
        </xdr:cNvPr>
        <xdr:cNvSpPr txBox="1"/>
      </xdr:nvSpPr>
      <xdr:spPr>
        <a:xfrm>
          <a:off x="6629400" y="12134850"/>
          <a:ext cx="1858282" cy="420006"/>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200" b="1" i="0" u="none" strike="noStrike" kern="0" cap="none" spc="0" normalizeH="0" baseline="0" noProof="0">
              <a:ln>
                <a:noFill/>
              </a:ln>
              <a:solidFill>
                <a:schemeClr val="accent6">
                  <a:lumMod val="75000"/>
                </a:schemeClr>
              </a:solidFill>
              <a:effectLst/>
              <a:uLnTx/>
              <a:uFillTx/>
              <a:latin typeface="Calibri"/>
              <a:ea typeface="+mn-ea"/>
              <a:cs typeface="+mn-cs"/>
            </a:rPr>
            <a:t>Insert cash grants here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1" i="0" u="none" strike="noStrike" kern="0" cap="none" spc="0" normalizeH="0" baseline="0" noProof="0">
            <a:ln>
              <a:noFill/>
            </a:ln>
            <a:solidFill>
              <a:schemeClr val="accent6">
                <a:lumMod val="75000"/>
              </a:schemeClr>
            </a:solidFill>
            <a:effectLst/>
            <a:uLnTx/>
            <a:uFillTx/>
            <a:latin typeface="Calibri"/>
            <a:ea typeface="+mn-ea"/>
            <a:cs typeface="+mn-cs"/>
          </a:endParaRPr>
        </a:p>
      </xdr:txBody>
    </xdr:sp>
    <xdr:clientData/>
  </xdr:twoCellAnchor>
  <xdr:twoCellAnchor>
    <xdr:from>
      <xdr:col>3</xdr:col>
      <xdr:colOff>489857</xdr:colOff>
      <xdr:row>57</xdr:row>
      <xdr:rowOff>54428</xdr:rowOff>
    </xdr:from>
    <xdr:to>
      <xdr:col>4</xdr:col>
      <xdr:colOff>149678</xdr:colOff>
      <xdr:row>59</xdr:row>
      <xdr:rowOff>108857</xdr:rowOff>
    </xdr:to>
    <xdr:cxnSp macro="">
      <xdr:nvCxnSpPr>
        <xdr:cNvPr id="37" name="Straight Arrow Connector 36">
          <a:extLst>
            <a:ext uri="{FF2B5EF4-FFF2-40B4-BE49-F238E27FC236}">
              <a16:creationId xmlns:a16="http://schemas.microsoft.com/office/drawing/2014/main" id="{CEB1739C-8CCB-48A1-B41F-27A35C9F3756}"/>
            </a:ext>
          </a:extLst>
        </xdr:cNvPr>
        <xdr:cNvCxnSpPr/>
      </xdr:nvCxnSpPr>
      <xdr:spPr>
        <a:xfrm flipH="1">
          <a:off x="6449786" y="21349607"/>
          <a:ext cx="449035" cy="462643"/>
        </a:xfrm>
        <a:prstGeom prst="straightConnector1">
          <a:avLst/>
        </a:prstGeom>
        <a:ln w="19050">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655413</xdr:colOff>
      <xdr:row>64</xdr:row>
      <xdr:rowOff>86178</xdr:rowOff>
    </xdr:from>
    <xdr:to>
      <xdr:col>5</xdr:col>
      <xdr:colOff>92982</xdr:colOff>
      <xdr:row>66</xdr:row>
      <xdr:rowOff>18144</xdr:rowOff>
    </xdr:to>
    <xdr:cxnSp macro="">
      <xdr:nvCxnSpPr>
        <xdr:cNvPr id="39" name="Straight Arrow Connector 38">
          <a:extLst>
            <a:ext uri="{FF2B5EF4-FFF2-40B4-BE49-F238E27FC236}">
              <a16:creationId xmlns:a16="http://schemas.microsoft.com/office/drawing/2014/main" id="{6DDF9459-185F-462A-98E2-DEECB721F0C6}"/>
            </a:ext>
          </a:extLst>
        </xdr:cNvPr>
        <xdr:cNvCxnSpPr/>
      </xdr:nvCxnSpPr>
      <xdr:spPr>
        <a:xfrm flipH="1">
          <a:off x="7418163" y="24835303"/>
          <a:ext cx="231319" cy="344716"/>
        </a:xfrm>
        <a:prstGeom prst="straightConnector1">
          <a:avLst/>
        </a:prstGeom>
        <a:ln w="19050">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1088117</xdr:colOff>
      <xdr:row>21</xdr:row>
      <xdr:rowOff>123825</xdr:rowOff>
    </xdr:from>
    <xdr:to>
      <xdr:col>6</xdr:col>
      <xdr:colOff>520701</xdr:colOff>
      <xdr:row>23</xdr:row>
      <xdr:rowOff>180974</xdr:rowOff>
    </xdr:to>
    <xdr:sp macro="" textlink="">
      <xdr:nvSpPr>
        <xdr:cNvPr id="43" name="TextBox 42">
          <a:extLst>
            <a:ext uri="{FF2B5EF4-FFF2-40B4-BE49-F238E27FC236}">
              <a16:creationId xmlns:a16="http://schemas.microsoft.com/office/drawing/2014/main" id="{565E9658-7E2E-4D15-BC50-A289B5CAF398}"/>
            </a:ext>
          </a:extLst>
        </xdr:cNvPr>
        <xdr:cNvSpPr txBox="1"/>
      </xdr:nvSpPr>
      <xdr:spPr>
        <a:xfrm>
          <a:off x="4917167" y="4886325"/>
          <a:ext cx="4337959" cy="49529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a:solidFill>
                <a:schemeClr val="accent6">
                  <a:lumMod val="75000"/>
                </a:schemeClr>
              </a:solidFill>
            </a:rPr>
            <a:t>The years or months are inputted here just </a:t>
          </a:r>
          <a:r>
            <a:rPr lang="en-AU" sz="1200" b="1" u="sng">
              <a:solidFill>
                <a:schemeClr val="accent6">
                  <a:lumMod val="75000"/>
                </a:schemeClr>
              </a:solidFill>
            </a:rPr>
            <a:t>once</a:t>
          </a:r>
          <a:r>
            <a:rPr lang="en-AU" sz="1200" b="1">
              <a:solidFill>
                <a:schemeClr val="accent6">
                  <a:lumMod val="75000"/>
                </a:schemeClr>
              </a:solidFill>
            </a:rPr>
            <a:t>. They are never inputted again anywhere else </a:t>
          </a:r>
          <a:r>
            <a:rPr lang="en-AU" sz="1200" b="1" baseline="0">
              <a:solidFill>
                <a:schemeClr val="accent6">
                  <a:lumMod val="75000"/>
                </a:schemeClr>
              </a:solidFill>
            </a:rPr>
            <a:t> in this whole business model.</a:t>
          </a:r>
          <a:endParaRPr lang="en-AU" sz="1200" b="1">
            <a:solidFill>
              <a:schemeClr val="accent6">
                <a:lumMod val="75000"/>
              </a:schemeClr>
            </a:solidFill>
          </a:endParaRPr>
        </a:p>
      </xdr:txBody>
    </xdr:sp>
    <xdr:clientData/>
  </xdr:twoCellAnchor>
  <xdr:twoCellAnchor>
    <xdr:from>
      <xdr:col>2</xdr:col>
      <xdr:colOff>768350</xdr:colOff>
      <xdr:row>23</xdr:row>
      <xdr:rowOff>120650</xdr:rowOff>
    </xdr:from>
    <xdr:to>
      <xdr:col>3</xdr:col>
      <xdr:colOff>152400</xdr:colOff>
      <xdr:row>24</xdr:row>
      <xdr:rowOff>47625</xdr:rowOff>
    </xdr:to>
    <xdr:cxnSp macro="">
      <xdr:nvCxnSpPr>
        <xdr:cNvPr id="44" name="Straight Arrow Connector 43">
          <a:extLst>
            <a:ext uri="{FF2B5EF4-FFF2-40B4-BE49-F238E27FC236}">
              <a16:creationId xmlns:a16="http://schemas.microsoft.com/office/drawing/2014/main" id="{98C25794-3ED4-4F1C-8758-19FB91FB5D3D}"/>
            </a:ext>
          </a:extLst>
        </xdr:cNvPr>
        <xdr:cNvCxnSpPr/>
      </xdr:nvCxnSpPr>
      <xdr:spPr>
        <a:xfrm>
          <a:off x="5959475" y="5321300"/>
          <a:ext cx="441325" cy="146050"/>
        </a:xfrm>
        <a:prstGeom prst="straightConnector1">
          <a:avLst/>
        </a:prstGeom>
        <a:ln w="19050">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3057525</xdr:colOff>
      <xdr:row>1</xdr:row>
      <xdr:rowOff>76202</xdr:rowOff>
    </xdr:from>
    <xdr:to>
      <xdr:col>10</xdr:col>
      <xdr:colOff>285751</xdr:colOff>
      <xdr:row>1</xdr:row>
      <xdr:rowOff>390526</xdr:rowOff>
    </xdr:to>
    <xdr:sp macro="" textlink="">
      <xdr:nvSpPr>
        <xdr:cNvPr id="3" name="TextBox 2">
          <a:extLst>
            <a:ext uri="{FF2B5EF4-FFF2-40B4-BE49-F238E27FC236}">
              <a16:creationId xmlns:a16="http://schemas.microsoft.com/office/drawing/2014/main" id="{4AE5AF1F-0ACA-4A6A-80FA-8FC6F3673092}"/>
            </a:ext>
          </a:extLst>
        </xdr:cNvPr>
        <xdr:cNvSpPr txBox="1"/>
      </xdr:nvSpPr>
      <xdr:spPr>
        <a:xfrm>
          <a:off x="3057525" y="466727"/>
          <a:ext cx="9277351" cy="31432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a:solidFill>
                <a:schemeClr val="accent6">
                  <a:lumMod val="50000"/>
                </a:schemeClr>
              </a:solidFill>
            </a:rPr>
            <a:t>Some people prefer to understand the business  by reading graphs,</a:t>
          </a:r>
          <a:r>
            <a:rPr lang="en-AU" sz="1400" baseline="0">
              <a:solidFill>
                <a:schemeClr val="accent6">
                  <a:lumMod val="50000"/>
                </a:schemeClr>
              </a:solidFill>
            </a:rPr>
            <a:t> whereas others prefer numbers.  So show both!</a:t>
          </a:r>
        </a:p>
        <a:p>
          <a:endParaRPr lang="en-AU" sz="1400">
            <a:solidFill>
              <a:schemeClr val="accent6">
                <a:lumMod val="50000"/>
              </a:schemeClr>
            </a:solidFill>
          </a:endParaRPr>
        </a:p>
      </xdr:txBody>
    </xdr:sp>
    <xdr:clientData/>
  </xdr:twoCellAnchor>
  <xdr:twoCellAnchor>
    <xdr:from>
      <xdr:col>4</xdr:col>
      <xdr:colOff>571500</xdr:colOff>
      <xdr:row>26</xdr:row>
      <xdr:rowOff>257175</xdr:rowOff>
    </xdr:from>
    <xdr:to>
      <xdr:col>4</xdr:col>
      <xdr:colOff>733425</xdr:colOff>
      <xdr:row>29</xdr:row>
      <xdr:rowOff>44450</xdr:rowOff>
    </xdr:to>
    <xdr:cxnSp macro="">
      <xdr:nvCxnSpPr>
        <xdr:cNvPr id="33" name="Straight Arrow Connector 32">
          <a:extLst>
            <a:ext uri="{FF2B5EF4-FFF2-40B4-BE49-F238E27FC236}">
              <a16:creationId xmlns:a16="http://schemas.microsoft.com/office/drawing/2014/main" id="{6D90AC42-6EB7-40AC-9A29-B1CAB61777E5}"/>
            </a:ext>
          </a:extLst>
        </xdr:cNvPr>
        <xdr:cNvCxnSpPr/>
      </xdr:nvCxnSpPr>
      <xdr:spPr>
        <a:xfrm>
          <a:off x="7648575" y="6343650"/>
          <a:ext cx="161925" cy="692150"/>
        </a:xfrm>
        <a:prstGeom prst="straightConnector1">
          <a:avLst/>
        </a:prstGeom>
        <a:ln w="19050">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274322</xdr:colOff>
      <xdr:row>3</xdr:row>
      <xdr:rowOff>2541</xdr:rowOff>
    </xdr:from>
    <xdr:to>
      <xdr:col>4</xdr:col>
      <xdr:colOff>638175</xdr:colOff>
      <xdr:row>12</xdr:row>
      <xdr:rowOff>101600</xdr:rowOff>
    </xdr:to>
    <xdr:graphicFrame macro="">
      <xdr:nvGraphicFramePr>
        <xdr:cNvPr id="5" name="Chart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320040</xdr:colOff>
      <xdr:row>78</xdr:row>
      <xdr:rowOff>349680</xdr:rowOff>
    </xdr:from>
    <xdr:to>
      <xdr:col>2</xdr:col>
      <xdr:colOff>320400</xdr:colOff>
      <xdr:row>78</xdr:row>
      <xdr:rowOff>350040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4" name="Ink 3">
              <a:extLst>
                <a:ext uri="{FF2B5EF4-FFF2-40B4-BE49-F238E27FC236}">
                  <a16:creationId xmlns:a16="http://schemas.microsoft.com/office/drawing/2014/main" id="{00000000-0008-0000-0200-000004000000}"/>
                </a:ext>
              </a:extLst>
            </xdr14:cNvPr>
            <xdr14:cNvContentPartPr/>
          </xdr14:nvContentPartPr>
          <xdr14:nvPr macro=""/>
          <xdr14:xfrm>
            <a:off x="7955280" y="9707040"/>
            <a:ext cx="360" cy="360"/>
          </xdr14:xfrm>
        </xdr:contentPart>
      </mc:Choice>
      <mc:Fallback xmlns="">
        <xdr:pic>
          <xdr:nvPicPr>
            <xdr:cNvPr id="4" name="Ink 3"/>
            <xdr:cNvPicPr/>
          </xdr:nvPicPr>
          <xdr:blipFill/>
          <xdr:spPr/>
        </xdr:pic>
      </mc:Fallback>
    </mc:AlternateContent>
    <xdr:clientData/>
  </xdr:twoCellAnchor>
  <xdr:twoCellAnchor>
    <xdr:from>
      <xdr:col>2</xdr:col>
      <xdr:colOff>130989</xdr:colOff>
      <xdr:row>79</xdr:row>
      <xdr:rowOff>250462</xdr:rowOff>
    </xdr:from>
    <xdr:to>
      <xdr:col>11</xdr:col>
      <xdr:colOff>430892</xdr:colOff>
      <xdr:row>80</xdr:row>
      <xdr:rowOff>92983</xdr:rowOff>
    </xdr:to>
    <xdr:sp macro="" textlink="">
      <xdr:nvSpPr>
        <xdr:cNvPr id="22" name="TextBox 21">
          <a:extLst>
            <a:ext uri="{FF2B5EF4-FFF2-40B4-BE49-F238E27FC236}">
              <a16:creationId xmlns:a16="http://schemas.microsoft.com/office/drawing/2014/main" id="{D8E344FA-041B-4FC3-AF2C-115F96DC05E8}"/>
            </a:ext>
          </a:extLst>
        </xdr:cNvPr>
        <xdr:cNvSpPr txBox="1"/>
      </xdr:nvSpPr>
      <xdr:spPr>
        <a:xfrm>
          <a:off x="5560239" y="23824837"/>
          <a:ext cx="8983528" cy="2552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a:solidFill>
                <a:schemeClr val="accent6">
                  <a:lumMod val="75000"/>
                </a:schemeClr>
              </a:solidFill>
            </a:rPr>
            <a:t>Insert purchase prices for 2026 here in </a:t>
          </a:r>
          <a:r>
            <a:rPr lang="en-AU" sz="1200" b="1" u="sng">
              <a:solidFill>
                <a:schemeClr val="accent6">
                  <a:lumMod val="75000"/>
                </a:schemeClr>
              </a:solidFill>
            </a:rPr>
            <a:t>real terms.</a:t>
          </a:r>
          <a:r>
            <a:rPr lang="en-AU" sz="1200" b="1" baseline="0">
              <a:solidFill>
                <a:schemeClr val="accent6">
                  <a:lumMod val="75000"/>
                </a:schemeClr>
              </a:solidFill>
            </a:rPr>
            <a:t>     </a:t>
          </a:r>
          <a:r>
            <a:rPr lang="en-AU" sz="1200" b="1">
              <a:solidFill>
                <a:schemeClr val="accent6">
                  <a:lumMod val="75000"/>
                </a:schemeClr>
              </a:solidFill>
            </a:rPr>
            <a:t>Insert the annual decrease in real prices here (omit</a:t>
          </a:r>
          <a:r>
            <a:rPr lang="en-AU" sz="1200" b="1" baseline="0">
              <a:solidFill>
                <a:schemeClr val="accent6">
                  <a:lumMod val="75000"/>
                </a:schemeClr>
              </a:solidFill>
            </a:rPr>
            <a:t> inflation)</a:t>
          </a:r>
          <a:endParaRPr lang="en-AU" sz="1200" b="1">
            <a:solidFill>
              <a:schemeClr val="accent6">
                <a:lumMod val="75000"/>
              </a:schemeClr>
            </a:solidFill>
          </a:endParaRPr>
        </a:p>
      </xdr:txBody>
    </xdr:sp>
    <xdr:clientData/>
  </xdr:twoCellAnchor>
  <xdr:twoCellAnchor>
    <xdr:from>
      <xdr:col>4</xdr:col>
      <xdr:colOff>625929</xdr:colOff>
      <xdr:row>80</xdr:row>
      <xdr:rowOff>95250</xdr:rowOff>
    </xdr:from>
    <xdr:to>
      <xdr:col>5</xdr:col>
      <xdr:colOff>587375</xdr:colOff>
      <xdr:row>81</xdr:row>
      <xdr:rowOff>190500</xdr:rowOff>
    </xdr:to>
    <xdr:cxnSp macro="">
      <xdr:nvCxnSpPr>
        <xdr:cNvPr id="23" name="Straight Arrow Connector 22">
          <a:extLst>
            <a:ext uri="{FF2B5EF4-FFF2-40B4-BE49-F238E27FC236}">
              <a16:creationId xmlns:a16="http://schemas.microsoft.com/office/drawing/2014/main" id="{1979AE24-8659-43A4-87A9-0869B9C37732}"/>
            </a:ext>
          </a:extLst>
        </xdr:cNvPr>
        <xdr:cNvCxnSpPr/>
      </xdr:nvCxnSpPr>
      <xdr:spPr>
        <a:xfrm flipH="1">
          <a:off x="8293554" y="24082375"/>
          <a:ext cx="882196" cy="460375"/>
        </a:xfrm>
        <a:prstGeom prst="straightConnector1">
          <a:avLst/>
        </a:prstGeom>
        <a:ln w="19050">
          <a:solidFill>
            <a:schemeClr val="accent6">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682625</xdr:colOff>
      <xdr:row>80</xdr:row>
      <xdr:rowOff>63500</xdr:rowOff>
    </xdr:from>
    <xdr:to>
      <xdr:col>2</xdr:col>
      <xdr:colOff>857250</xdr:colOff>
      <xdr:row>86</xdr:row>
      <xdr:rowOff>31750</xdr:rowOff>
    </xdr:to>
    <xdr:cxnSp macro="">
      <xdr:nvCxnSpPr>
        <xdr:cNvPr id="24" name="Straight Arrow Connector 23">
          <a:extLst>
            <a:ext uri="{FF2B5EF4-FFF2-40B4-BE49-F238E27FC236}">
              <a16:creationId xmlns:a16="http://schemas.microsoft.com/office/drawing/2014/main" id="{A6B3A2C8-DE83-42F7-AD07-7A2E76946BFE}"/>
            </a:ext>
          </a:extLst>
        </xdr:cNvPr>
        <xdr:cNvCxnSpPr/>
      </xdr:nvCxnSpPr>
      <xdr:spPr>
        <a:xfrm flipH="1">
          <a:off x="6111875" y="24050625"/>
          <a:ext cx="174625" cy="1365250"/>
        </a:xfrm>
        <a:prstGeom prst="straightConnector1">
          <a:avLst/>
        </a:prstGeom>
        <a:ln w="19050">
          <a:solidFill>
            <a:schemeClr val="accent6">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320040</xdr:colOff>
      <xdr:row>109</xdr:row>
      <xdr:rowOff>349680</xdr:rowOff>
    </xdr:from>
    <xdr:to>
      <xdr:col>2</xdr:col>
      <xdr:colOff>320400</xdr:colOff>
      <xdr:row>109</xdr:row>
      <xdr:rowOff>350040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0" name="Ink 29">
              <a:extLst>
                <a:ext uri="{FF2B5EF4-FFF2-40B4-BE49-F238E27FC236}">
                  <a16:creationId xmlns:a16="http://schemas.microsoft.com/office/drawing/2014/main" id="{F10E3B5B-6D42-4BE7-8C62-A577DA724E21}"/>
                </a:ext>
              </a:extLst>
            </xdr14:cNvPr>
            <xdr14:cNvContentPartPr/>
          </xdr14:nvContentPartPr>
          <xdr14:nvPr macro=""/>
          <xdr14:xfrm>
            <a:off x="7955280" y="9707040"/>
            <a:ext cx="360" cy="360"/>
          </xdr14:xfrm>
        </xdr:contentPart>
      </mc:Choice>
      <mc:Fallback xmlns="">
        <xdr:pic>
          <xdr:nvPicPr>
            <xdr:cNvPr id="4" name="Ink 3"/>
            <xdr:cNvPicPr/>
          </xdr:nvPicPr>
          <xdr:blipFill/>
          <xdr:spPr/>
        </xdr:pic>
      </mc:Fallback>
    </mc:AlternateContent>
    <xdr:clientData/>
  </xdr:twoCellAnchor>
  <xdr:twoCellAnchor>
    <xdr:from>
      <xdr:col>1</xdr:col>
      <xdr:colOff>361314</xdr:colOff>
      <xdr:row>36</xdr:row>
      <xdr:rowOff>139702</xdr:rowOff>
    </xdr:from>
    <xdr:to>
      <xdr:col>2</xdr:col>
      <xdr:colOff>371475</xdr:colOff>
      <xdr:row>38</xdr:row>
      <xdr:rowOff>266700</xdr:rowOff>
    </xdr:to>
    <xdr:sp macro="" textlink="">
      <xdr:nvSpPr>
        <xdr:cNvPr id="8" name="TextBox 7">
          <a:extLst>
            <a:ext uri="{FF2B5EF4-FFF2-40B4-BE49-F238E27FC236}">
              <a16:creationId xmlns:a16="http://schemas.microsoft.com/office/drawing/2014/main" id="{E477C112-950F-4AD4-8FEB-C56379D8312A}"/>
            </a:ext>
          </a:extLst>
        </xdr:cNvPr>
        <xdr:cNvSpPr txBox="1"/>
      </xdr:nvSpPr>
      <xdr:spPr>
        <a:xfrm>
          <a:off x="4095114" y="8140702"/>
          <a:ext cx="1981836" cy="46989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AU" sz="1100" b="0">
              <a:solidFill>
                <a:schemeClr val="accent6">
                  <a:lumMod val="75000"/>
                </a:schemeClr>
              </a:solidFill>
              <a:latin typeface="+mn-lt"/>
              <a:ea typeface="+mn-ea"/>
              <a:cs typeface="+mn-cs"/>
            </a:rPr>
            <a:t>Nominal terms are in italics</a:t>
          </a:r>
        </a:p>
        <a:p>
          <a:pPr marL="0" indent="0"/>
          <a:r>
            <a:rPr lang="en-AU" sz="1100" b="0">
              <a:solidFill>
                <a:schemeClr val="accent6">
                  <a:lumMod val="75000"/>
                </a:schemeClr>
              </a:solidFill>
              <a:latin typeface="+mn-lt"/>
              <a:ea typeface="+mn-ea"/>
              <a:cs typeface="+mn-cs"/>
            </a:rPr>
            <a:t>Real Terms are vertical</a:t>
          </a:r>
        </a:p>
        <a:p>
          <a:pPr marL="0" indent="0"/>
          <a:endParaRPr lang="en-AU" sz="1100" b="0">
            <a:solidFill>
              <a:schemeClr val="accent6">
                <a:lumMod val="75000"/>
              </a:schemeClr>
            </a:solidFill>
            <a:latin typeface="+mn-lt"/>
            <a:ea typeface="+mn-ea"/>
            <a:cs typeface="+mn-cs"/>
          </a:endParaRPr>
        </a:p>
        <a:p>
          <a:pPr marL="0" indent="0"/>
          <a:endParaRPr lang="en-AU" sz="1100" b="0">
            <a:solidFill>
              <a:schemeClr val="accent6">
                <a:lumMod val="75000"/>
              </a:schemeClr>
            </a:solidFill>
            <a:latin typeface="+mn-lt"/>
            <a:ea typeface="+mn-ea"/>
            <a:cs typeface="+mn-cs"/>
          </a:endParaRPr>
        </a:p>
      </xdr:txBody>
    </xdr:sp>
    <xdr:clientData/>
  </xdr:twoCellAnchor>
  <xdr:twoCellAnchor>
    <xdr:from>
      <xdr:col>5</xdr:col>
      <xdr:colOff>158750</xdr:colOff>
      <xdr:row>9</xdr:row>
      <xdr:rowOff>63500</xdr:rowOff>
    </xdr:from>
    <xdr:to>
      <xdr:col>9</xdr:col>
      <xdr:colOff>590550</xdr:colOff>
      <xdr:row>10</xdr:row>
      <xdr:rowOff>180974</xdr:rowOff>
    </xdr:to>
    <xdr:sp macro="" textlink="">
      <xdr:nvSpPr>
        <xdr:cNvPr id="3" name="TextBox 2">
          <a:extLst>
            <a:ext uri="{FF2B5EF4-FFF2-40B4-BE49-F238E27FC236}">
              <a16:creationId xmlns:a16="http://schemas.microsoft.com/office/drawing/2014/main" id="{DA6F2D58-613D-4D25-8EC0-8B38D9625463}"/>
            </a:ext>
          </a:extLst>
        </xdr:cNvPr>
        <xdr:cNvSpPr txBox="1"/>
      </xdr:nvSpPr>
      <xdr:spPr>
        <a:xfrm>
          <a:off x="7388225" y="2359025"/>
          <a:ext cx="3670300" cy="33654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a:solidFill>
                <a:schemeClr val="accent6">
                  <a:lumMod val="75000"/>
                </a:schemeClr>
              </a:solidFill>
            </a:rPr>
            <a:t>When does the revenue start exceeding the costs?</a:t>
          </a:r>
        </a:p>
      </xdr:txBody>
    </xdr:sp>
    <xdr:clientData/>
  </xdr:twoCellAnchor>
  <xdr:twoCellAnchor>
    <xdr:from>
      <xdr:col>4</xdr:col>
      <xdr:colOff>304800</xdr:colOff>
      <xdr:row>9</xdr:row>
      <xdr:rowOff>66675</xdr:rowOff>
    </xdr:from>
    <xdr:to>
      <xdr:col>5</xdr:col>
      <xdr:colOff>82550</xdr:colOff>
      <xdr:row>9</xdr:row>
      <xdr:rowOff>209550</xdr:rowOff>
    </xdr:to>
    <xdr:cxnSp macro="">
      <xdr:nvCxnSpPr>
        <xdr:cNvPr id="7" name="Straight Arrow Connector 6">
          <a:extLst>
            <a:ext uri="{FF2B5EF4-FFF2-40B4-BE49-F238E27FC236}">
              <a16:creationId xmlns:a16="http://schemas.microsoft.com/office/drawing/2014/main" id="{054ED105-EF5E-4300-9359-F673CBCEEA9C}"/>
            </a:ext>
          </a:extLst>
        </xdr:cNvPr>
        <xdr:cNvCxnSpPr/>
      </xdr:nvCxnSpPr>
      <xdr:spPr>
        <a:xfrm flipH="1" flipV="1">
          <a:off x="6724650" y="2362200"/>
          <a:ext cx="587375" cy="142875"/>
        </a:xfrm>
        <a:prstGeom prst="straightConnector1">
          <a:avLst/>
        </a:prstGeom>
        <a:ln w="19050">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1066800</xdr:colOff>
      <xdr:row>29</xdr:row>
      <xdr:rowOff>6350</xdr:rowOff>
    </xdr:from>
    <xdr:to>
      <xdr:col>4</xdr:col>
      <xdr:colOff>314325</xdr:colOff>
      <xdr:row>30</xdr:row>
      <xdr:rowOff>92075</xdr:rowOff>
    </xdr:to>
    <xdr:sp macro="" textlink="">
      <xdr:nvSpPr>
        <xdr:cNvPr id="14" name="TextBox 13">
          <a:extLst>
            <a:ext uri="{FF2B5EF4-FFF2-40B4-BE49-F238E27FC236}">
              <a16:creationId xmlns:a16="http://schemas.microsoft.com/office/drawing/2014/main" id="{5D83702F-125F-4925-AF7A-568926932FCD}"/>
            </a:ext>
          </a:extLst>
        </xdr:cNvPr>
        <xdr:cNvSpPr txBox="1"/>
      </xdr:nvSpPr>
      <xdr:spPr>
        <a:xfrm>
          <a:off x="4800600" y="6778625"/>
          <a:ext cx="3562350" cy="2476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a:solidFill>
                <a:srgbClr val="E46C0A"/>
              </a:solidFill>
            </a:rPr>
            <a:t>Look inside this algorithm : 80% @ 25% and 20% @ 15%</a:t>
          </a:r>
        </a:p>
      </xdr:txBody>
    </xdr:sp>
    <xdr:clientData/>
  </xdr:twoCellAnchor>
  <xdr:twoCellAnchor>
    <xdr:from>
      <xdr:col>2</xdr:col>
      <xdr:colOff>1343025</xdr:colOff>
      <xdr:row>30</xdr:row>
      <xdr:rowOff>114300</xdr:rowOff>
    </xdr:from>
    <xdr:to>
      <xdr:col>3</xdr:col>
      <xdr:colOff>349250</xdr:colOff>
      <xdr:row>32</xdr:row>
      <xdr:rowOff>82550</xdr:rowOff>
    </xdr:to>
    <xdr:cxnSp macro="">
      <xdr:nvCxnSpPr>
        <xdr:cNvPr id="15" name="Straight Arrow Connector 14">
          <a:extLst>
            <a:ext uri="{FF2B5EF4-FFF2-40B4-BE49-F238E27FC236}">
              <a16:creationId xmlns:a16="http://schemas.microsoft.com/office/drawing/2014/main" id="{4242A641-FDF6-4B69-9159-9165D58042E6}"/>
            </a:ext>
          </a:extLst>
        </xdr:cNvPr>
        <xdr:cNvCxnSpPr/>
      </xdr:nvCxnSpPr>
      <xdr:spPr>
        <a:xfrm>
          <a:off x="7048500" y="7048500"/>
          <a:ext cx="387350" cy="292100"/>
        </a:xfrm>
        <a:prstGeom prst="straightConnector1">
          <a:avLst/>
        </a:prstGeom>
        <a:ln w="19050">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152400</xdr:colOff>
      <xdr:row>37</xdr:row>
      <xdr:rowOff>101600</xdr:rowOff>
    </xdr:from>
    <xdr:to>
      <xdr:col>3</xdr:col>
      <xdr:colOff>228600</xdr:colOff>
      <xdr:row>40</xdr:row>
      <xdr:rowOff>76200</xdr:rowOff>
    </xdr:to>
    <xdr:cxnSp macro="">
      <xdr:nvCxnSpPr>
        <xdr:cNvPr id="20" name="Straight Arrow Connector 19">
          <a:extLst>
            <a:ext uri="{FF2B5EF4-FFF2-40B4-BE49-F238E27FC236}">
              <a16:creationId xmlns:a16="http://schemas.microsoft.com/office/drawing/2014/main" id="{72AB7914-7E60-41A4-8BC0-264E14361BCB}"/>
            </a:ext>
          </a:extLst>
        </xdr:cNvPr>
        <xdr:cNvCxnSpPr/>
      </xdr:nvCxnSpPr>
      <xdr:spPr>
        <a:xfrm>
          <a:off x="5857875" y="8274050"/>
          <a:ext cx="1457325" cy="641350"/>
        </a:xfrm>
        <a:prstGeom prst="straightConnector1">
          <a:avLst/>
        </a:prstGeom>
        <a:ln w="19050">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1771650</xdr:colOff>
      <xdr:row>38</xdr:row>
      <xdr:rowOff>139700</xdr:rowOff>
    </xdr:from>
    <xdr:to>
      <xdr:col>3</xdr:col>
      <xdr:colOff>238125</xdr:colOff>
      <xdr:row>44</xdr:row>
      <xdr:rowOff>66675</xdr:rowOff>
    </xdr:to>
    <xdr:cxnSp macro="">
      <xdr:nvCxnSpPr>
        <xdr:cNvPr id="28" name="Straight Arrow Connector 27">
          <a:extLst>
            <a:ext uri="{FF2B5EF4-FFF2-40B4-BE49-F238E27FC236}">
              <a16:creationId xmlns:a16="http://schemas.microsoft.com/office/drawing/2014/main" id="{A8C60FAE-C651-4534-8E4C-0B297C960046}"/>
            </a:ext>
          </a:extLst>
        </xdr:cNvPr>
        <xdr:cNvCxnSpPr/>
      </xdr:nvCxnSpPr>
      <xdr:spPr>
        <a:xfrm>
          <a:off x="5505450" y="8483600"/>
          <a:ext cx="1819275" cy="1069975"/>
        </a:xfrm>
        <a:prstGeom prst="straightConnector1">
          <a:avLst/>
        </a:prstGeom>
        <a:ln w="19050">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1301753</xdr:colOff>
      <xdr:row>1</xdr:row>
      <xdr:rowOff>187325</xdr:rowOff>
    </xdr:from>
    <xdr:to>
      <xdr:col>4</xdr:col>
      <xdr:colOff>358775</xdr:colOff>
      <xdr:row>9</xdr:row>
      <xdr:rowOff>95250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320040</xdr:colOff>
      <xdr:row>41</xdr:row>
      <xdr:rowOff>349680</xdr:rowOff>
    </xdr:from>
    <xdr:to>
      <xdr:col>2</xdr:col>
      <xdr:colOff>320400</xdr:colOff>
      <xdr:row>41</xdr:row>
      <xdr:rowOff>350040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5" name="Ink 4">
              <a:extLst>
                <a:ext uri="{FF2B5EF4-FFF2-40B4-BE49-F238E27FC236}">
                  <a16:creationId xmlns:a16="http://schemas.microsoft.com/office/drawing/2014/main" id="{00000000-0008-0000-0300-000005000000}"/>
                </a:ext>
              </a:extLst>
            </xdr14:cNvPr>
            <xdr14:cNvContentPartPr/>
          </xdr14:nvContentPartPr>
          <xdr14:nvPr macro=""/>
          <xdr14:xfrm>
            <a:off x="7955280" y="9707040"/>
            <a:ext cx="360" cy="360"/>
          </xdr14:xfrm>
        </xdr:contentPart>
      </mc:Choice>
      <mc:Fallback xmlns="">
        <xdr:pic>
          <xdr:nvPicPr>
            <xdr:cNvPr id="4" name="Ink 3"/>
            <xdr:cNvPicPr/>
          </xdr:nvPicPr>
          <xdr:blipFill/>
          <xdr:spPr/>
        </xdr:pic>
      </mc:Fallback>
    </mc:AlternateContent>
    <xdr:clientData/>
  </xdr:twoCellAnchor>
  <xdr:twoCellAnchor>
    <xdr:from>
      <xdr:col>2</xdr:col>
      <xdr:colOff>320040</xdr:colOff>
      <xdr:row>70</xdr:row>
      <xdr:rowOff>349680</xdr:rowOff>
    </xdr:from>
    <xdr:to>
      <xdr:col>2</xdr:col>
      <xdr:colOff>320400</xdr:colOff>
      <xdr:row>70</xdr:row>
      <xdr:rowOff>350040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6" name="Ink 5">
              <a:extLst>
                <a:ext uri="{FF2B5EF4-FFF2-40B4-BE49-F238E27FC236}">
                  <a16:creationId xmlns:a16="http://schemas.microsoft.com/office/drawing/2014/main" id="{00000000-0008-0000-0300-000006000000}"/>
                </a:ext>
              </a:extLst>
            </xdr14:cNvPr>
            <xdr14:cNvContentPartPr/>
          </xdr14:nvContentPartPr>
          <xdr14:nvPr macro=""/>
          <xdr14:xfrm>
            <a:off x="7955280" y="9707040"/>
            <a:ext cx="360" cy="360"/>
          </xdr14:xfrm>
        </xdr:contentPart>
      </mc:Choice>
      <mc:Fallback xmlns="">
        <xdr:pic>
          <xdr:nvPicPr>
            <xdr:cNvPr id="4" name="Ink 3"/>
            <xdr:cNvPicPr/>
          </xdr:nvPicPr>
          <xdr:blipFill/>
          <xdr:spPr/>
        </xdr:pic>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48896</xdr:colOff>
      <xdr:row>2</xdr:row>
      <xdr:rowOff>192405</xdr:rowOff>
    </xdr:from>
    <xdr:to>
      <xdr:col>1</xdr:col>
      <xdr:colOff>381001</xdr:colOff>
      <xdr:row>16</xdr:row>
      <xdr:rowOff>152400</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704851</xdr:colOff>
      <xdr:row>1</xdr:row>
      <xdr:rowOff>0</xdr:rowOff>
    </xdr:from>
    <xdr:to>
      <xdr:col>14</xdr:col>
      <xdr:colOff>111125</xdr:colOff>
      <xdr:row>2</xdr:row>
      <xdr:rowOff>152400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143876" y="390525"/>
          <a:ext cx="9026524"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accent6">
                  <a:lumMod val="75000"/>
                </a:schemeClr>
              </a:solidFill>
            </a:rPr>
            <a:t>This graph of four cashstreams is most revealing about the underlying strength of the business.  How</a:t>
          </a:r>
          <a:r>
            <a:rPr lang="en-AU" sz="1100" b="1" baseline="0">
              <a:solidFill>
                <a:schemeClr val="accent6">
                  <a:lumMod val="75000"/>
                </a:schemeClr>
              </a:solidFill>
            </a:rPr>
            <a:t> large are the cashflow deficits and cashflow positives </a:t>
          </a:r>
          <a:r>
            <a:rPr lang="en-AU" sz="1100" b="1" u="sng" baseline="0">
              <a:solidFill>
                <a:schemeClr val="accent6">
                  <a:lumMod val="75000"/>
                </a:schemeClr>
              </a:solidFill>
            </a:rPr>
            <a:t>relative </a:t>
          </a:r>
          <a:r>
            <a:rPr lang="en-AU" sz="1100" b="1" baseline="0">
              <a:solidFill>
                <a:schemeClr val="accent6">
                  <a:lumMod val="75000"/>
                </a:schemeClr>
              </a:solidFill>
            </a:rPr>
            <a:t>to the costs and taxes in each year?  Are there solid margins?  </a:t>
          </a:r>
        </a:p>
        <a:p>
          <a:r>
            <a:rPr lang="en-AU" sz="1100" b="1" baseline="0">
              <a:solidFill>
                <a:schemeClr val="accent6">
                  <a:lumMod val="75000"/>
                </a:schemeClr>
              </a:solidFill>
            </a:rPr>
            <a:t>NOTE: A social enterprise that resells and distributes products made by third parties might be a low margin business, so be very </a:t>
          </a:r>
        </a:p>
        <a:p>
          <a:r>
            <a:rPr lang="en-AU" sz="1100" b="1" baseline="0">
              <a:solidFill>
                <a:schemeClr val="accent6">
                  <a:lumMod val="75000"/>
                </a:schemeClr>
              </a:solidFill>
            </a:rPr>
            <a:t>conscious of the dangers of being undercut in prices or of having increases in the cost of buying the products from suppliers.</a:t>
          </a:r>
        </a:p>
        <a:p>
          <a:endParaRPr lang="en-AU" sz="1100" b="1">
            <a:solidFill>
              <a:schemeClr val="accent6">
                <a:lumMod val="75000"/>
              </a:schemeClr>
            </a:solidFill>
          </a:endParaRPr>
        </a:p>
      </xdr:txBody>
    </xdr:sp>
    <xdr:clientData/>
  </xdr:twoCellAnchor>
  <xdr:twoCellAnchor>
    <xdr:from>
      <xdr:col>1</xdr:col>
      <xdr:colOff>552450</xdr:colOff>
      <xdr:row>2</xdr:row>
      <xdr:rowOff>190500</xdr:rowOff>
    </xdr:from>
    <xdr:to>
      <xdr:col>4</xdr:col>
      <xdr:colOff>592455</xdr:colOff>
      <xdr:row>16</xdr:row>
      <xdr:rowOff>153670</xdr:rowOff>
    </xdr:to>
    <xdr:graphicFrame macro="">
      <xdr:nvGraphicFramePr>
        <xdr:cNvPr id="3" name="Chart 2">
          <a:extLst>
            <a:ext uri="{FF2B5EF4-FFF2-40B4-BE49-F238E27FC236}">
              <a16:creationId xmlns:a16="http://schemas.microsoft.com/office/drawing/2014/main" id="{501F6EBB-899A-4688-8EBC-B93D757AE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626744</xdr:colOff>
      <xdr:row>2</xdr:row>
      <xdr:rowOff>192405</xdr:rowOff>
    </xdr:from>
    <xdr:to>
      <xdr:col>11</xdr:col>
      <xdr:colOff>409574</xdr:colOff>
      <xdr:row>16</xdr:row>
      <xdr:rowOff>114300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140335</xdr:rowOff>
    </xdr:from>
    <xdr:to>
      <xdr:col>1</xdr:col>
      <xdr:colOff>1114425</xdr:colOff>
      <xdr:row>14</xdr:row>
      <xdr:rowOff>161925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476250</xdr:colOff>
      <xdr:row>28</xdr:row>
      <xdr:rowOff>34925</xdr:rowOff>
    </xdr:from>
    <xdr:to>
      <xdr:col>5</xdr:col>
      <xdr:colOff>57150</xdr:colOff>
      <xdr:row>29</xdr:row>
      <xdr:rowOff>47625</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flipH="1">
          <a:off x="6781800" y="7216775"/>
          <a:ext cx="285750" cy="203200"/>
        </a:xfrm>
        <a:prstGeom prst="straightConnector1">
          <a:avLst/>
        </a:prstGeom>
        <a:ln w="38100">
          <a:solidFill>
            <a:schemeClr val="accent6">
              <a:lumMod val="60000"/>
              <a:lumOff val="40000"/>
            </a:schemeClr>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568325</xdr:colOff>
      <xdr:row>37</xdr:row>
      <xdr:rowOff>123825</xdr:rowOff>
    </xdr:from>
    <xdr:to>
      <xdr:col>3</xdr:col>
      <xdr:colOff>44450</xdr:colOff>
      <xdr:row>38</xdr:row>
      <xdr:rowOff>101600</xdr:rowOff>
    </xdr:to>
    <xdr:cxnSp macro="">
      <xdr:nvCxnSpPr>
        <xdr:cNvPr id="6" name="Straight Arrow Connector 5">
          <a:extLst>
            <a:ext uri="{FF2B5EF4-FFF2-40B4-BE49-F238E27FC236}">
              <a16:creationId xmlns:a16="http://schemas.microsoft.com/office/drawing/2014/main" id="{B5BA4F9E-2C28-4DA1-9F28-971684D1E698}"/>
            </a:ext>
          </a:extLst>
        </xdr:cNvPr>
        <xdr:cNvCxnSpPr/>
      </xdr:nvCxnSpPr>
      <xdr:spPr>
        <a:xfrm>
          <a:off x="5207000" y="9277350"/>
          <a:ext cx="438150" cy="139700"/>
        </a:xfrm>
        <a:prstGeom prst="straightConnector1">
          <a:avLst/>
        </a:prstGeom>
        <a:ln w="9525">
          <a:solidFill>
            <a:srgbClr val="0070C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63501</xdr:colOff>
      <xdr:row>27</xdr:row>
      <xdr:rowOff>571502</xdr:rowOff>
    </xdr:from>
    <xdr:to>
      <xdr:col>8</xdr:col>
      <xdr:colOff>295276</xdr:colOff>
      <xdr:row>28</xdr:row>
      <xdr:rowOff>152400</xdr:rowOff>
    </xdr:to>
    <xdr:sp macro="" textlink="">
      <xdr:nvSpPr>
        <xdr:cNvPr id="10" name="TextBox 9">
          <a:extLst>
            <a:ext uri="{FF2B5EF4-FFF2-40B4-BE49-F238E27FC236}">
              <a16:creationId xmlns:a16="http://schemas.microsoft.com/office/drawing/2014/main" id="{D5246764-CFBD-437E-933D-43F39AAFDB81}"/>
            </a:ext>
          </a:extLst>
        </xdr:cNvPr>
        <xdr:cNvSpPr txBox="1"/>
      </xdr:nvSpPr>
      <xdr:spPr>
        <a:xfrm>
          <a:off x="7073901" y="7019927"/>
          <a:ext cx="2346325" cy="3143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0" i="1">
              <a:solidFill>
                <a:schemeClr val="accent6">
                  <a:lumMod val="75000"/>
                </a:schemeClr>
              </a:solidFill>
            </a:rPr>
            <a:t>Nominal dollars are in italics</a:t>
          </a:r>
        </a:p>
        <a:p>
          <a:endParaRPr lang="en-AU" sz="1200" b="1" i="1">
            <a:solidFill>
              <a:schemeClr val="accent6">
                <a:lumMod val="75000"/>
              </a:schemeClr>
            </a:solidFill>
          </a:endParaRPr>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6-08-05T05:33:22.518"/>
    </inkml:context>
    <inkml:brush xml:id="br0">
      <inkml:brushProperty name="width" value="0.028" units="cm"/>
      <inkml:brushProperty name="height" value="0.028" units="cm"/>
      <inkml:brushProperty name="ignorePressure" value="1"/>
    </inkml:brush>
  </inkml:definitions>
  <inkml:traceGroup>
    <inkml:annotationXML>
      <emma:emma xmlns:emma="http://www.w3.org/2003/04/emma" version="1.0">
        <emma:interpretation id="{ABA863F9-DD05-4867-AC7D-E2A859C3666F}" emma:medium="tactile" emma:mode="ink">
          <msink:context xmlns:msink="http://schemas.microsoft.com/ink/2010/main" type="writingRegion" rotatedBoundingBox="22098,26964 22113,26964 22113,26979 22098,26979"/>
        </emma:interpretation>
      </emma:emma>
    </inkml:annotationXML>
    <inkml:traceGroup>
      <inkml:annotationXML>
        <emma:emma xmlns:emma="http://www.w3.org/2003/04/emma" version="1.0">
          <emma:interpretation id="{DE4A53B6-5971-416B-A3AD-378EA7ABC4ED}" emma:medium="tactile" emma:mode="ink">
            <msink:context xmlns:msink="http://schemas.microsoft.com/ink/2010/main" type="paragraph" rotatedBoundingBox="22098,26964 22113,26964 22113,26979 22098,26979" alignmentLevel="1"/>
          </emma:interpretation>
        </emma:emma>
      </inkml:annotationXML>
      <inkml:traceGroup>
        <inkml:annotationXML>
          <emma:emma xmlns:emma="http://www.w3.org/2003/04/emma" version="1.0">
            <emma:interpretation id="{99F8D7B3-15EC-4674-A7BD-98D20E1839AF}" emma:medium="tactile" emma:mode="ink">
              <msink:context xmlns:msink="http://schemas.microsoft.com/ink/2010/main" type="line" rotatedBoundingBox="22098,26964 22113,26964 22113,26979 22098,26979"/>
            </emma:interpretation>
          </emma:emma>
        </inkml:annotationXML>
        <inkml:traceGroup>
          <inkml:annotationXML>
            <emma:emma xmlns:emma="http://www.w3.org/2003/04/emma" version="1.0">
              <emma:interpretation id="{6E16F1CF-CACE-4B9A-9A12-9F027500AD8A}" emma:medium="tactile" emma:mode="ink">
                <msink:context xmlns:msink="http://schemas.microsoft.com/ink/2010/main" type="inkWord" rotatedBoundingBox="22098,26964 22113,26964 22113,26979 22098,26979"/>
              </emma:interpretation>
            </emma:emma>
          </inkml:annotationXML>
          <inkml:trace contextRef="#ctx0" brushRef="#br0">5526 6743</inkml:trace>
        </inkml:traceGroup>
      </inkml:traceGroup>
    </inkml:traceGroup>
  </inkml:traceGroup>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6-08-05T05:38:32.252"/>
    </inkml:context>
    <inkml:brush xml:id="br0">
      <inkml:brushProperty name="width" value="0.028" units="cm"/>
      <inkml:brushProperty name="height" value="0.028" units="cm"/>
      <inkml:brushProperty name="ignorePressure" value="1"/>
    </inkml:brush>
  </inkml:definitions>
  <inkml:trace contextRef="#ctx0" brushRef="#br0">5526 6743</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6-09-12T23:37:06.785"/>
    </inkml:context>
    <inkml:brush xml:id="br0">
      <inkml:brushProperty name="width" value="0.028" units="cm"/>
      <inkml:brushProperty name="height" value="0.028" units="cm"/>
      <inkml:brushProperty name="ignorePressure" value="1"/>
    </inkml:brush>
  </inkml:definitions>
  <inkml:trace contextRef="#ctx0" brushRef="#br0">5526 6743</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6-09-12T23:38:34.090"/>
    </inkml:context>
    <inkml:brush xml:id="br0">
      <inkml:brushProperty name="width" value="0.028" units="cm"/>
      <inkml:brushProperty name="height" value="0.028" units="cm"/>
      <inkml:brushProperty name="ignorePressure" value="1"/>
    </inkml:brush>
  </inkml:definitions>
  <inkml:trace contextRef="#ctx0" brushRef="#br0">5526 6743</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6-09-12T23:57:55.299"/>
    </inkml:context>
    <inkml:brush xml:id="br0">
      <inkml:brushProperty name="width" value="0.028" units="cm"/>
      <inkml:brushProperty name="height" value="0.028" units="cm"/>
      <inkml:brushProperty name="ignorePressure" value="1"/>
    </inkml:brush>
  </inkml:definitions>
  <inkml:trace contextRef="#ctx0" brushRef="#br0">5526 6743</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6-08-05T06:20:14.529"/>
    </inkml:context>
    <inkml:brush xml:id="br0">
      <inkml:brushProperty name="width" value="0.028" units="cm"/>
      <inkml:brushProperty name="height" value="0.028" units="cm"/>
      <inkml:brushProperty name="ignorePressure" value="1"/>
    </inkml:brush>
  </inkml:definitions>
  <inkml:trace contextRef="#ctx0" brushRef="#br0">5526 6743</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8-08-07T06:18:20.568"/>
    </inkml:context>
    <inkml:brush xml:id="br0">
      <inkml:brushProperty name="width" value="0.028" units="cm"/>
      <inkml:brushProperty name="height" value="0.028" units="cm"/>
      <inkml:brushProperty name="ignorePressure" value="1"/>
    </inkml:brush>
  </inkml:definitions>
  <inkml:trace contextRef="#ctx0" brushRef="#br0">5526 6743</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6-08-06T12:31:12.538"/>
    </inkml:context>
    <inkml:brush xml:id="br0">
      <inkml:brushProperty name="width" value="0.028" units="cm"/>
      <inkml:brushProperty name="height" value="0.028" units="cm"/>
      <inkml:brushProperty name="ignorePressure" value="1"/>
    </inkml:brush>
  </inkml:definitions>
  <inkml:trace contextRef="#ctx0" brushRef="#br0">5526 6743</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6-08-07T03:19:18.497"/>
    </inkml:context>
    <inkml:brush xml:id="br0">
      <inkml:brushProperty name="width" value="0.028" units="cm"/>
      <inkml:brushProperty name="height" value="0.028" units="cm"/>
      <inkml:brushProperty name="ignorePressure" value="1"/>
    </inkml:brush>
  </inkml:definitions>
  <inkml:trace contextRef="#ctx0" brushRef="#br0">5526 6743</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4"/>
  <sheetViews>
    <sheetView tabSelected="1" zoomScaleNormal="100" workbookViewId="0">
      <selection activeCell="F3" sqref="F3"/>
    </sheetView>
  </sheetViews>
  <sheetFormatPr defaultColWidth="8.81640625" defaultRowHeight="13" x14ac:dyDescent="0.3"/>
  <cols>
    <col min="1" max="1" width="27.453125" style="12" customWidth="1"/>
    <col min="2" max="2" width="14.453125" style="12" customWidth="1"/>
    <col min="3" max="3" width="12.7265625" style="12" customWidth="1"/>
    <col min="4" max="4" width="10.7265625" style="12" customWidth="1"/>
    <col min="5" max="9" width="8.81640625" style="12"/>
    <col min="10" max="11" width="14.1796875" style="47" customWidth="1"/>
    <col min="12" max="12" width="8.81640625" style="47"/>
    <col min="13" max="13" width="23" style="47" customWidth="1"/>
    <col min="14" max="14" width="20.81640625" style="47" customWidth="1"/>
    <col min="15" max="16384" width="8.81640625" style="12"/>
  </cols>
  <sheetData>
    <row r="1" spans="1:15" s="19" customFormat="1" ht="15.5" x14ac:dyDescent="0.35">
      <c r="A1" s="139" t="s">
        <v>418</v>
      </c>
      <c r="B1" s="140"/>
      <c r="C1" s="140"/>
      <c r="D1" s="140"/>
      <c r="E1" s="140"/>
      <c r="F1" s="140"/>
      <c r="G1" s="140"/>
      <c r="H1" s="140"/>
      <c r="I1" s="140"/>
      <c r="J1" s="141"/>
      <c r="K1" s="141"/>
      <c r="L1" s="141"/>
      <c r="M1" s="47"/>
      <c r="N1" s="47"/>
    </row>
    <row r="2" spans="1:15" s="19" customFormat="1" ht="21" customHeight="1" x14ac:dyDescent="0.35">
      <c r="A2" s="128" t="s">
        <v>0</v>
      </c>
      <c r="J2" s="47"/>
      <c r="K2" s="47"/>
      <c r="L2" s="47"/>
      <c r="M2" s="47"/>
      <c r="N2" s="47"/>
    </row>
    <row r="3" spans="1:15" x14ac:dyDescent="0.3">
      <c r="A3" s="131" t="s">
        <v>325</v>
      </c>
    </row>
    <row r="4" spans="1:15" s="19" customFormat="1" ht="20.5" customHeight="1" x14ac:dyDescent="0.35">
      <c r="A4" s="128" t="s">
        <v>1</v>
      </c>
      <c r="J4" s="47"/>
      <c r="K4" s="47"/>
      <c r="L4" s="47"/>
      <c r="M4" s="47"/>
      <c r="N4" s="47"/>
    </row>
    <row r="5" spans="1:15" s="19" customFormat="1" ht="20.5" customHeight="1" x14ac:dyDescent="0.35">
      <c r="A5" s="142" t="s">
        <v>419</v>
      </c>
      <c r="J5" s="47"/>
      <c r="K5" s="47"/>
      <c r="L5" s="47"/>
      <c r="M5" s="47"/>
      <c r="N5" s="47"/>
    </row>
    <row r="6" spans="1:15" s="19" customFormat="1" ht="20.5" customHeight="1" x14ac:dyDescent="0.35">
      <c r="A6" s="142" t="s">
        <v>302</v>
      </c>
      <c r="J6" s="47"/>
      <c r="K6" s="47"/>
      <c r="L6" s="47"/>
      <c r="M6" s="47"/>
      <c r="N6" s="47"/>
    </row>
    <row r="7" spans="1:15" x14ac:dyDescent="0.3">
      <c r="A7" s="142" t="s">
        <v>420</v>
      </c>
      <c r="C7" s="120"/>
      <c r="D7" s="120"/>
      <c r="E7" s="120"/>
      <c r="F7" s="120"/>
      <c r="G7" s="120"/>
      <c r="H7" s="120"/>
      <c r="I7" s="120"/>
      <c r="J7" s="120"/>
      <c r="K7" s="120"/>
      <c r="L7" s="120"/>
      <c r="M7" s="120"/>
      <c r="N7" s="120"/>
      <c r="O7" s="120"/>
    </row>
    <row r="8" spans="1:15" s="19" customFormat="1" ht="21.5" customHeight="1" x14ac:dyDescent="0.35">
      <c r="A8" s="143" t="s">
        <v>48</v>
      </c>
      <c r="J8" s="47"/>
      <c r="K8" s="47"/>
      <c r="L8" s="47"/>
      <c r="M8" s="47"/>
      <c r="N8" s="47"/>
    </row>
    <row r="9" spans="1:15" ht="17.5" customHeight="1" x14ac:dyDescent="0.3">
      <c r="A9" s="132" t="s">
        <v>197</v>
      </c>
      <c r="B9" s="8"/>
      <c r="C9" s="9"/>
      <c r="E9" s="10"/>
      <c r="F9" s="11"/>
      <c r="G9" s="11"/>
      <c r="H9" s="11"/>
      <c r="I9" s="11"/>
      <c r="J9" s="46"/>
      <c r="K9" s="46"/>
      <c r="L9" s="46"/>
    </row>
    <row r="10" spans="1:15" x14ac:dyDescent="0.3">
      <c r="A10" s="133" t="s">
        <v>326</v>
      </c>
      <c r="C10" s="120"/>
      <c r="D10" s="120"/>
      <c r="E10" s="120"/>
      <c r="F10" s="120"/>
      <c r="G10" s="120"/>
      <c r="H10" s="120"/>
      <c r="I10" s="120"/>
      <c r="J10" s="120"/>
      <c r="K10" s="120"/>
      <c r="L10" s="120"/>
      <c r="M10" s="120"/>
      <c r="N10" s="120"/>
      <c r="O10" s="120"/>
    </row>
    <row r="11" spans="1:15" x14ac:dyDescent="0.3">
      <c r="A11" s="133" t="s">
        <v>303</v>
      </c>
      <c r="B11" s="8"/>
      <c r="C11" s="9"/>
      <c r="E11" s="10"/>
      <c r="F11" s="11"/>
    </row>
    <row r="12" spans="1:15" x14ac:dyDescent="0.3">
      <c r="A12" s="133" t="s">
        <v>304</v>
      </c>
      <c r="B12" s="8"/>
      <c r="C12" s="9"/>
      <c r="E12" s="10"/>
      <c r="F12" s="11"/>
    </row>
    <row r="13" spans="1:15" x14ac:dyDescent="0.3">
      <c r="A13" s="134"/>
      <c r="B13" s="8"/>
      <c r="C13" s="9"/>
      <c r="E13" s="10"/>
      <c r="F13" s="11"/>
    </row>
    <row r="14" spans="1:15" s="19" customFormat="1" ht="20.5" customHeight="1" x14ac:dyDescent="0.35">
      <c r="A14" s="128" t="s">
        <v>264</v>
      </c>
      <c r="J14" s="47"/>
      <c r="K14" s="47"/>
      <c r="L14" s="47"/>
      <c r="M14" s="47"/>
      <c r="N14" s="47"/>
    </row>
    <row r="15" spans="1:15" s="15" customFormat="1" x14ac:dyDescent="0.3">
      <c r="A15" s="133" t="s">
        <v>11</v>
      </c>
      <c r="C15" s="15" t="s">
        <v>327</v>
      </c>
      <c r="E15" s="16"/>
      <c r="F15" s="17"/>
      <c r="J15" s="48"/>
      <c r="K15" s="48"/>
      <c r="L15" s="48"/>
      <c r="M15" s="48"/>
      <c r="N15" s="48"/>
    </row>
    <row r="16" spans="1:15" s="15" customFormat="1" x14ac:dyDescent="0.3">
      <c r="A16" s="133" t="s">
        <v>198</v>
      </c>
      <c r="B16" s="133"/>
      <c r="C16" s="135" t="s">
        <v>199</v>
      </c>
      <c r="E16" s="16"/>
      <c r="F16" s="17"/>
      <c r="J16" s="48"/>
      <c r="K16" s="48"/>
      <c r="L16" s="48"/>
      <c r="M16" s="48"/>
      <c r="N16" s="48"/>
    </row>
    <row r="17" spans="1:14" s="15" customFormat="1" ht="32.25" customHeight="1" x14ac:dyDescent="0.3">
      <c r="A17" s="133"/>
      <c r="B17" s="133"/>
      <c r="E17" s="16"/>
      <c r="F17" s="17"/>
      <c r="J17" s="48"/>
      <c r="K17" s="48"/>
      <c r="L17" s="48"/>
      <c r="M17" s="48"/>
      <c r="N17" s="48"/>
    </row>
    <row r="18" spans="1:14" s="401" customFormat="1" ht="56.25" customHeight="1" x14ac:dyDescent="0.6">
      <c r="A18" s="398" t="s">
        <v>305</v>
      </c>
      <c r="B18" s="399"/>
      <c r="C18" s="399"/>
      <c r="D18" s="399"/>
      <c r="E18" s="399"/>
      <c r="F18" s="399"/>
      <c r="G18" s="399"/>
      <c r="H18" s="399"/>
      <c r="I18" s="399"/>
      <c r="J18" s="400"/>
      <c r="K18" s="400"/>
      <c r="L18" s="400"/>
      <c r="M18" s="400"/>
    </row>
    <row r="19" spans="1:14" s="19" customFormat="1" ht="19.5" customHeight="1" x14ac:dyDescent="0.35">
      <c r="A19" s="112" t="s">
        <v>306</v>
      </c>
    </row>
    <row r="20" spans="1:14" x14ac:dyDescent="0.3">
      <c r="A20" s="113">
        <f>45+22.4</f>
        <v>67.400000000000006</v>
      </c>
      <c r="B20" s="12" t="s">
        <v>307</v>
      </c>
      <c r="J20" s="12"/>
      <c r="K20" s="12"/>
      <c r="L20" s="12"/>
      <c r="M20" s="12"/>
      <c r="N20" s="12"/>
    </row>
    <row r="21" spans="1:14" x14ac:dyDescent="0.3">
      <c r="A21" s="114" t="s">
        <v>308</v>
      </c>
      <c r="J21" s="12"/>
      <c r="K21" s="12"/>
      <c r="L21" s="12"/>
      <c r="M21" s="12"/>
      <c r="N21" s="12"/>
    </row>
    <row r="22" spans="1:14" x14ac:dyDescent="0.3">
      <c r="A22" s="13"/>
      <c r="B22" s="12" t="s">
        <v>309</v>
      </c>
      <c r="J22" s="12"/>
      <c r="K22" s="12"/>
      <c r="L22" s="12"/>
      <c r="M22" s="12"/>
      <c r="N22" s="12"/>
    </row>
    <row r="23" spans="1:14" x14ac:dyDescent="0.3">
      <c r="A23" s="115">
        <v>67.400000000000006</v>
      </c>
      <c r="B23" s="12" t="s">
        <v>310</v>
      </c>
      <c r="J23" s="12"/>
      <c r="K23" s="12"/>
      <c r="L23" s="12"/>
      <c r="M23" s="12"/>
      <c r="N23" s="12"/>
    </row>
    <row r="24" spans="1:14" s="117" customFormat="1" ht="28.5" customHeight="1" x14ac:dyDescent="0.35">
      <c r="A24" s="116" t="s">
        <v>311</v>
      </c>
    </row>
    <row r="25" spans="1:14" x14ac:dyDescent="0.3">
      <c r="A25" s="13"/>
      <c r="B25" s="12" t="s">
        <v>312</v>
      </c>
      <c r="J25" s="12"/>
      <c r="K25" s="12"/>
      <c r="L25" s="12"/>
      <c r="M25" s="12"/>
      <c r="N25" s="12"/>
    </row>
    <row r="26" spans="1:14" x14ac:dyDescent="0.3">
      <c r="A26" s="118" t="str">
        <f>'Sales &amp; Revenue'!A30</f>
        <v>Product A - growth rate of sales</v>
      </c>
      <c r="B26" s="123"/>
      <c r="C26" s="123"/>
      <c r="D26" s="124">
        <f>'Sales &amp; Revenue'!D30</f>
        <v>0</v>
      </c>
      <c r="E26" s="124">
        <f>'Sales &amp; Revenue'!E30</f>
        <v>0.05</v>
      </c>
      <c r="F26" s="124">
        <f>'Sales &amp; Revenue'!F30</f>
        <v>0.1</v>
      </c>
      <c r="G26" s="124">
        <f>'Sales &amp; Revenue'!G30</f>
        <v>0.2</v>
      </c>
      <c r="H26" s="124">
        <f>'Sales &amp; Revenue'!H30</f>
        <v>0.3</v>
      </c>
      <c r="I26" s="124">
        <f>'Sales &amp; Revenue'!I30</f>
        <v>0.3</v>
      </c>
      <c r="J26" s="124">
        <f>'Sales &amp; Revenue'!J30</f>
        <v>0.15</v>
      </c>
      <c r="K26" s="124">
        <f>'Sales &amp; Revenue'!K30</f>
        <v>0.03</v>
      </c>
      <c r="L26" s="124">
        <f>'Sales &amp; Revenue'!L30</f>
        <v>0.03</v>
      </c>
      <c r="M26" s="124">
        <f>'Sales &amp; Revenue'!M30</f>
        <v>0.03</v>
      </c>
      <c r="N26" s="12"/>
    </row>
    <row r="27" spans="1:14" x14ac:dyDescent="0.3">
      <c r="A27" s="13"/>
      <c r="B27" s="12" t="s">
        <v>313</v>
      </c>
      <c r="J27" s="12"/>
      <c r="K27" s="12"/>
      <c r="L27" s="12"/>
      <c r="M27" s="12"/>
      <c r="N27" s="12"/>
    </row>
    <row r="28" spans="1:14" x14ac:dyDescent="0.3">
      <c r="A28" s="13"/>
      <c r="B28" s="12" t="s">
        <v>314</v>
      </c>
      <c r="J28" s="12"/>
      <c r="K28" s="12"/>
      <c r="L28" s="12"/>
      <c r="M28" s="12"/>
      <c r="N28" s="12"/>
    </row>
    <row r="29" spans="1:14" x14ac:dyDescent="0.3">
      <c r="A29" s="13"/>
      <c r="B29" s="12" t="s">
        <v>315</v>
      </c>
      <c r="J29" s="12"/>
      <c r="K29" s="12"/>
      <c r="L29" s="12"/>
      <c r="M29" s="12"/>
      <c r="N29" s="12"/>
    </row>
    <row r="30" spans="1:14" s="15" customFormat="1" ht="28.5" customHeight="1" x14ac:dyDescent="0.35">
      <c r="A30" s="119" t="s">
        <v>316</v>
      </c>
    </row>
    <row r="31" spans="1:14" x14ac:dyDescent="0.3">
      <c r="A31" s="120">
        <f>A20+A23</f>
        <v>134.80000000000001</v>
      </c>
      <c r="B31" s="12" t="s">
        <v>317</v>
      </c>
      <c r="J31" s="12"/>
      <c r="K31" s="12"/>
      <c r="L31" s="12"/>
      <c r="M31" s="12"/>
      <c r="N31" s="12"/>
    </row>
    <row r="32" spans="1:14" s="15" customFormat="1" ht="28.5" customHeight="1" x14ac:dyDescent="0.35">
      <c r="A32" s="121" t="s">
        <v>318</v>
      </c>
    </row>
    <row r="33" spans="1:14" x14ac:dyDescent="0.3">
      <c r="A33" s="122">
        <v>67.400000000000006</v>
      </c>
      <c r="B33" s="12" t="s">
        <v>319</v>
      </c>
      <c r="J33" s="12"/>
      <c r="K33" s="12"/>
      <c r="L33" s="12"/>
      <c r="M33" s="12"/>
      <c r="N33" s="12"/>
    </row>
    <row r="34" spans="1:14" x14ac:dyDescent="0.3">
      <c r="J34" s="12"/>
      <c r="K34" s="12"/>
      <c r="L34" s="12"/>
      <c r="M34" s="12"/>
      <c r="N34" s="12"/>
    </row>
    <row r="35" spans="1:14" s="15" customFormat="1" ht="28.5" customHeight="1" x14ac:dyDescent="0.35">
      <c r="A35" s="129" t="s">
        <v>320</v>
      </c>
    </row>
    <row r="36" spans="1:14" x14ac:dyDescent="0.3">
      <c r="A36" s="12" t="s">
        <v>321</v>
      </c>
      <c r="J36" s="12"/>
      <c r="K36" s="12"/>
      <c r="L36" s="12"/>
      <c r="M36" s="12"/>
      <c r="N36" s="12"/>
    </row>
    <row r="37" spans="1:14" x14ac:dyDescent="0.3">
      <c r="B37" s="12" t="s">
        <v>322</v>
      </c>
      <c r="J37" s="12"/>
      <c r="K37" s="12"/>
      <c r="L37" s="12"/>
      <c r="M37" s="12"/>
      <c r="N37" s="12"/>
    </row>
    <row r="38" spans="1:14" x14ac:dyDescent="0.3">
      <c r="C38" s="12" t="s">
        <v>323</v>
      </c>
      <c r="J38" s="12"/>
      <c r="K38" s="12"/>
      <c r="L38" s="12"/>
      <c r="M38" s="12"/>
      <c r="N38" s="12"/>
    </row>
    <row r="39" spans="1:14" x14ac:dyDescent="0.3">
      <c r="A39" s="13"/>
      <c r="B39" s="13"/>
      <c r="C39" s="13"/>
      <c r="D39" s="12" t="s">
        <v>324</v>
      </c>
      <c r="E39" s="13"/>
      <c r="F39" s="13"/>
      <c r="J39" s="12"/>
      <c r="K39" s="12"/>
      <c r="L39" s="12"/>
      <c r="M39" s="12"/>
      <c r="N39" s="12"/>
    </row>
    <row r="40" spans="1:14" x14ac:dyDescent="0.3">
      <c r="J40" s="12"/>
      <c r="K40" s="12"/>
      <c r="L40" s="12"/>
      <c r="M40" s="12"/>
      <c r="N40" s="12"/>
    </row>
    <row r="44" spans="1:14" x14ac:dyDescent="0.3">
      <c r="D44" s="12" t="s">
        <v>47</v>
      </c>
    </row>
    <row r="97" spans="1:1" x14ac:dyDescent="0.3">
      <c r="A97" s="12" t="s">
        <v>297</v>
      </c>
    </row>
    <row r="98" spans="1:1" x14ac:dyDescent="0.3">
      <c r="A98" s="136" t="s">
        <v>301</v>
      </c>
    </row>
    <row r="111" spans="1:1" x14ac:dyDescent="0.3">
      <c r="A111" s="12" t="s">
        <v>298</v>
      </c>
    </row>
    <row r="112" spans="1:1" x14ac:dyDescent="0.3">
      <c r="A112" s="12" t="s">
        <v>299</v>
      </c>
    </row>
    <row r="114" spans="1:1" x14ac:dyDescent="0.3">
      <c r="A114" s="136" t="s">
        <v>300</v>
      </c>
    </row>
  </sheetData>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zoomScaleNormal="100" workbookViewId="0">
      <selection activeCell="C1" sqref="C1"/>
    </sheetView>
  </sheetViews>
  <sheetFormatPr defaultColWidth="8.81640625" defaultRowHeight="13" x14ac:dyDescent="0.3"/>
  <cols>
    <col min="1" max="1" width="54.81640625" style="12" customWidth="1"/>
    <col min="2" max="2" width="19.453125" style="12" customWidth="1"/>
    <col min="3" max="3" width="15.1796875" style="120" customWidth="1"/>
    <col min="4" max="15" width="11.81640625" style="160" customWidth="1"/>
    <col min="16" max="16384" width="8.81640625" style="12"/>
  </cols>
  <sheetData>
    <row r="1" spans="1:15" s="47" customFormat="1" ht="30.75" customHeight="1" x14ac:dyDescent="0.35">
      <c r="A1" s="150" t="str">
        <f>'Intro, Audits'!A1</f>
        <v>worked example - Business Model plus funding and accounting 10 years - Base Case</v>
      </c>
      <c r="B1" s="157"/>
      <c r="C1" s="157"/>
      <c r="D1" s="157"/>
      <c r="E1" s="157"/>
    </row>
    <row r="2" spans="1:15" s="126" customFormat="1" ht="33.5" customHeight="1" x14ac:dyDescent="0.35">
      <c r="A2" s="18" t="s">
        <v>34</v>
      </c>
      <c r="B2" s="126" t="s">
        <v>47</v>
      </c>
      <c r="C2" s="183"/>
      <c r="D2" s="183"/>
      <c r="E2" s="183"/>
      <c r="F2" s="183"/>
      <c r="G2" s="183"/>
      <c r="H2" s="183"/>
      <c r="I2" s="183"/>
      <c r="J2" s="183"/>
      <c r="K2" s="183"/>
      <c r="L2" s="183"/>
      <c r="M2" s="183"/>
      <c r="N2" s="183"/>
      <c r="O2" s="183"/>
    </row>
    <row r="3" spans="1:15" x14ac:dyDescent="0.3">
      <c r="A3" s="158"/>
      <c r="D3" s="120"/>
      <c r="E3" s="120"/>
      <c r="F3" s="120"/>
      <c r="G3" s="120"/>
      <c r="H3" s="120"/>
      <c r="I3" s="120"/>
      <c r="J3" s="120"/>
      <c r="K3" s="120"/>
      <c r="L3" s="120"/>
      <c r="M3" s="120"/>
      <c r="N3" s="120"/>
      <c r="O3" s="120"/>
    </row>
    <row r="4" spans="1:15" ht="17.25" customHeight="1" x14ac:dyDescent="0.3">
      <c r="A4" s="13"/>
      <c r="C4" s="159"/>
    </row>
    <row r="5" spans="1:15" ht="17.25" customHeight="1" x14ac:dyDescent="0.3">
      <c r="A5" s="13"/>
      <c r="C5" s="159"/>
    </row>
    <row r="6" spans="1:15" ht="17.25" customHeight="1" x14ac:dyDescent="0.3">
      <c r="A6" s="13"/>
      <c r="C6" s="159"/>
    </row>
    <row r="7" spans="1:15" ht="17.25" customHeight="1" x14ac:dyDescent="0.3">
      <c r="A7" s="13"/>
      <c r="C7" s="159"/>
    </row>
    <row r="8" spans="1:15" ht="17.25" customHeight="1" x14ac:dyDescent="0.3">
      <c r="A8" s="13"/>
      <c r="C8" s="159"/>
    </row>
    <row r="9" spans="1:15" ht="17.25" customHeight="1" x14ac:dyDescent="0.3">
      <c r="A9" s="13"/>
      <c r="C9" s="159"/>
    </row>
    <row r="10" spans="1:15" ht="17.25" customHeight="1" x14ac:dyDescent="0.3">
      <c r="A10" s="13"/>
      <c r="C10" s="159"/>
    </row>
    <row r="11" spans="1:15" ht="17.25" customHeight="1" x14ac:dyDescent="0.3">
      <c r="A11" s="13"/>
      <c r="C11" s="159"/>
    </row>
    <row r="12" spans="1:15" ht="17.25" customHeight="1" x14ac:dyDescent="0.3">
      <c r="A12" s="13"/>
      <c r="C12" s="159"/>
    </row>
    <row r="13" spans="1:15" ht="17.25" customHeight="1" x14ac:dyDescent="0.3">
      <c r="A13" s="13"/>
      <c r="C13" s="159"/>
    </row>
    <row r="14" spans="1:15" ht="17.25" customHeight="1" x14ac:dyDescent="0.3">
      <c r="A14" s="13"/>
      <c r="C14" s="159"/>
    </row>
    <row r="15" spans="1:15" ht="17.25" customHeight="1" x14ac:dyDescent="0.3">
      <c r="A15" s="13"/>
      <c r="C15" s="159"/>
    </row>
    <row r="16" spans="1:15" ht="17.25" customHeight="1" x14ac:dyDescent="0.3">
      <c r="A16" s="13"/>
      <c r="C16" s="159"/>
    </row>
    <row r="17" spans="1:15" ht="17.25" customHeight="1" x14ac:dyDescent="0.3">
      <c r="A17" s="13"/>
      <c r="C17" s="159"/>
    </row>
    <row r="18" spans="1:15" ht="17.25" customHeight="1" x14ac:dyDescent="0.3">
      <c r="A18" s="13"/>
      <c r="C18" s="159"/>
    </row>
    <row r="19" spans="1:15" ht="17.25" customHeight="1" x14ac:dyDescent="0.3">
      <c r="A19" s="13"/>
      <c r="C19" s="159"/>
    </row>
    <row r="20" spans="1:15" ht="17.25" customHeight="1" x14ac:dyDescent="0.3">
      <c r="A20" s="13"/>
      <c r="C20" s="159"/>
    </row>
    <row r="21" spans="1:15" ht="17.25" customHeight="1" x14ac:dyDescent="0.3">
      <c r="A21" s="13"/>
      <c r="C21" s="159"/>
    </row>
    <row r="22" spans="1:15" ht="17.25" customHeight="1" x14ac:dyDescent="0.3">
      <c r="A22" s="13"/>
      <c r="C22" s="159"/>
    </row>
    <row r="23" spans="1:15" ht="17.25" customHeight="1" x14ac:dyDescent="0.3">
      <c r="A23" s="13"/>
      <c r="C23" s="159"/>
    </row>
    <row r="24" spans="1:15" ht="17.25" customHeight="1" x14ac:dyDescent="0.3">
      <c r="A24" s="13"/>
      <c r="C24" s="159"/>
    </row>
    <row r="25" spans="1:15" s="179" customFormat="1" ht="18.5" x14ac:dyDescent="0.35">
      <c r="A25" s="180" t="s">
        <v>13</v>
      </c>
      <c r="B25" s="181" t="s">
        <v>3</v>
      </c>
      <c r="C25" s="181" t="s">
        <v>4</v>
      </c>
      <c r="D25" s="182">
        <v>2026</v>
      </c>
      <c r="E25" s="182">
        <f>D25+1</f>
        <v>2027</v>
      </c>
      <c r="F25" s="182">
        <f t="shared" ref="F25:L25" si="0">E25+1</f>
        <v>2028</v>
      </c>
      <c r="G25" s="182">
        <f t="shared" si="0"/>
        <v>2029</v>
      </c>
      <c r="H25" s="182">
        <f t="shared" si="0"/>
        <v>2030</v>
      </c>
      <c r="I25" s="182">
        <f t="shared" si="0"/>
        <v>2031</v>
      </c>
      <c r="J25" s="182">
        <f t="shared" si="0"/>
        <v>2032</v>
      </c>
      <c r="K25" s="182">
        <f t="shared" si="0"/>
        <v>2033</v>
      </c>
      <c r="L25" s="182">
        <f t="shared" si="0"/>
        <v>2034</v>
      </c>
      <c r="M25" s="182">
        <f t="shared" ref="M25" si="1">L25+1</f>
        <v>2035</v>
      </c>
      <c r="N25" s="182">
        <f t="shared" ref="N25" si="2">M25+1</f>
        <v>2036</v>
      </c>
      <c r="O25" s="182">
        <f t="shared" ref="O25" si="3">N25+1</f>
        <v>2037</v>
      </c>
    </row>
    <row r="26" spans="1:15" s="126" customFormat="1" ht="33.5" customHeight="1" x14ac:dyDescent="0.35">
      <c r="A26" s="18" t="s">
        <v>15</v>
      </c>
      <c r="C26" s="183"/>
      <c r="D26" s="183"/>
      <c r="E26" s="183"/>
      <c r="F26" s="183"/>
      <c r="G26" s="183"/>
      <c r="H26" s="183"/>
      <c r="I26" s="183"/>
      <c r="J26" s="183"/>
      <c r="K26" s="183"/>
      <c r="L26" s="183"/>
      <c r="M26" s="183"/>
      <c r="N26" s="183"/>
      <c r="O26" s="183"/>
    </row>
    <row r="27" spans="1:15" s="43" customFormat="1" ht="30.5" customHeight="1" x14ac:dyDescent="0.35">
      <c r="A27" s="111" t="s">
        <v>196</v>
      </c>
      <c r="B27" s="42"/>
      <c r="C27" s="145"/>
      <c r="D27" s="146"/>
      <c r="E27" s="146"/>
      <c r="F27" s="146"/>
      <c r="G27" s="146"/>
      <c r="H27" s="146"/>
      <c r="I27" s="146"/>
      <c r="J27" s="146"/>
      <c r="K27" s="146"/>
      <c r="L27" s="146"/>
      <c r="M27" s="146"/>
      <c r="N27" s="146"/>
      <c r="O27" s="146"/>
    </row>
    <row r="28" spans="1:15" ht="15" customHeight="1" x14ac:dyDescent="0.35">
      <c r="A28" s="152" t="s">
        <v>84</v>
      </c>
      <c r="C28" s="164"/>
      <c r="D28" s="164"/>
      <c r="E28" s="164"/>
      <c r="F28" s="164"/>
      <c r="G28" s="164"/>
      <c r="H28" s="164"/>
      <c r="I28" s="164"/>
      <c r="J28" s="164"/>
      <c r="K28" s="164"/>
      <c r="L28" s="164"/>
      <c r="M28" s="164"/>
      <c r="N28" s="164"/>
      <c r="O28" s="164"/>
    </row>
    <row r="29" spans="1:15" x14ac:dyDescent="0.3">
      <c r="A29" s="15" t="s">
        <v>421</v>
      </c>
      <c r="D29" s="120"/>
      <c r="E29" s="120"/>
      <c r="F29" s="120"/>
      <c r="G29" s="120"/>
      <c r="H29" s="120"/>
      <c r="I29" s="120"/>
      <c r="J29" s="120"/>
      <c r="K29" s="120"/>
      <c r="L29" s="120"/>
      <c r="M29" s="120"/>
      <c r="N29" s="120"/>
      <c r="O29" s="120"/>
    </row>
    <row r="30" spans="1:15" x14ac:dyDescent="0.3">
      <c r="A30" s="184" t="s">
        <v>193</v>
      </c>
      <c r="B30" s="185" t="s">
        <v>192</v>
      </c>
      <c r="C30" s="164"/>
      <c r="D30" s="186"/>
      <c r="E30" s="186">
        <v>0.05</v>
      </c>
      <c r="F30" s="186">
        <v>0.1</v>
      </c>
      <c r="G30" s="186">
        <v>0.2</v>
      </c>
      <c r="H30" s="186">
        <v>0.3</v>
      </c>
      <c r="I30" s="186">
        <f>H30</f>
        <v>0.3</v>
      </c>
      <c r="J30" s="186">
        <v>0.15</v>
      </c>
      <c r="K30" s="186">
        <v>0.03</v>
      </c>
      <c r="L30" s="186">
        <f t="shared" ref="L30" si="4">K30</f>
        <v>0.03</v>
      </c>
      <c r="M30" s="186">
        <f t="shared" ref="M30" si="5">L30</f>
        <v>0.03</v>
      </c>
      <c r="N30" s="186"/>
      <c r="O30" s="187"/>
    </row>
    <row r="31" spans="1:15" x14ac:dyDescent="0.3">
      <c r="A31" s="184" t="s">
        <v>194</v>
      </c>
      <c r="B31" s="185" t="s">
        <v>192</v>
      </c>
      <c r="C31" s="164"/>
      <c r="D31" s="186"/>
      <c r="E31" s="186">
        <v>0.05</v>
      </c>
      <c r="F31" s="186">
        <v>0.1</v>
      </c>
      <c r="G31" s="186">
        <v>0.2</v>
      </c>
      <c r="H31" s="186">
        <f t="shared" ref="H31:H32" si="6">G31</f>
        <v>0.2</v>
      </c>
      <c r="I31" s="186">
        <f t="shared" ref="I31:I32" si="7">H31</f>
        <v>0.2</v>
      </c>
      <c r="J31" s="186">
        <v>0.1</v>
      </c>
      <c r="K31" s="186">
        <v>0.03</v>
      </c>
      <c r="L31" s="186">
        <f t="shared" ref="L31:M31" si="8">K31</f>
        <v>0.03</v>
      </c>
      <c r="M31" s="186">
        <f t="shared" si="8"/>
        <v>0.03</v>
      </c>
      <c r="N31" s="186"/>
      <c r="O31" s="187"/>
    </row>
    <row r="32" spans="1:15" x14ac:dyDescent="0.3">
      <c r="A32" s="184" t="s">
        <v>195</v>
      </c>
      <c r="B32" s="185" t="s">
        <v>192</v>
      </c>
      <c r="C32" s="164"/>
      <c r="D32" s="186"/>
      <c r="E32" s="186">
        <v>0.1</v>
      </c>
      <c r="F32" s="186">
        <f>E32</f>
        <v>0.1</v>
      </c>
      <c r="G32" s="186">
        <f t="shared" ref="G32" si="9">F32</f>
        <v>0.1</v>
      </c>
      <c r="H32" s="186">
        <f t="shared" si="6"/>
        <v>0.1</v>
      </c>
      <c r="I32" s="186">
        <f t="shared" si="7"/>
        <v>0.1</v>
      </c>
      <c r="J32" s="186">
        <v>0.05</v>
      </c>
      <c r="K32" s="186">
        <v>0.03</v>
      </c>
      <c r="L32" s="186">
        <f t="shared" ref="L32:M32" si="10">K32</f>
        <v>0.03</v>
      </c>
      <c r="M32" s="186">
        <f t="shared" si="10"/>
        <v>0.03</v>
      </c>
      <c r="N32" s="186"/>
      <c r="O32" s="187"/>
    </row>
    <row r="33" spans="1:15" ht="15" customHeight="1" x14ac:dyDescent="0.35">
      <c r="A33" s="152" t="s">
        <v>85</v>
      </c>
      <c r="C33" s="164"/>
      <c r="D33" s="164"/>
      <c r="E33" s="164"/>
      <c r="F33" s="164"/>
      <c r="G33" s="164"/>
      <c r="H33" s="164"/>
      <c r="I33" s="164"/>
      <c r="J33" s="164"/>
      <c r="K33" s="164"/>
      <c r="L33" s="164"/>
      <c r="M33" s="164"/>
      <c r="N33" s="164"/>
      <c r="O33" s="164"/>
    </row>
    <row r="34" spans="1:15" x14ac:dyDescent="0.3">
      <c r="A34" s="74" t="s">
        <v>78</v>
      </c>
      <c r="B34" s="12" t="s">
        <v>3</v>
      </c>
      <c r="C34" s="164">
        <f>SUM(D34:O34)</f>
        <v>400090.76794514002</v>
      </c>
      <c r="D34" s="188">
        <v>20000</v>
      </c>
      <c r="E34" s="165">
        <f>D34*(1+E30)</f>
        <v>21000</v>
      </c>
      <c r="F34" s="165">
        <f t="shared" ref="F34:M34" si="11">E34*(1+F30)</f>
        <v>23100.000000000004</v>
      </c>
      <c r="G34" s="165">
        <f t="shared" si="11"/>
        <v>27720.000000000004</v>
      </c>
      <c r="H34" s="165">
        <f t="shared" si="11"/>
        <v>36036.000000000007</v>
      </c>
      <c r="I34" s="165">
        <f t="shared" si="11"/>
        <v>46846.80000000001</v>
      </c>
      <c r="J34" s="165">
        <f t="shared" si="11"/>
        <v>53873.820000000007</v>
      </c>
      <c r="K34" s="165">
        <f t="shared" si="11"/>
        <v>55490.034600000006</v>
      </c>
      <c r="L34" s="165">
        <f t="shared" si="11"/>
        <v>57154.735638000006</v>
      </c>
      <c r="M34" s="165">
        <f t="shared" si="11"/>
        <v>58869.377707140004</v>
      </c>
      <c r="N34" s="165"/>
      <c r="O34" s="165"/>
    </row>
    <row r="35" spans="1:15" x14ac:dyDescent="0.3">
      <c r="A35" s="74" t="s">
        <v>80</v>
      </c>
      <c r="B35" s="12" t="s">
        <v>3</v>
      </c>
      <c r="C35" s="164">
        <f t="shared" ref="C35:C37" si="12">SUM(D35:O35)</f>
        <v>261523.12684272003</v>
      </c>
      <c r="D35" s="188">
        <v>15000</v>
      </c>
      <c r="E35" s="165">
        <f t="shared" ref="E35:M36" si="13">D35*(1+E31)</f>
        <v>15750</v>
      </c>
      <c r="F35" s="165">
        <f t="shared" si="13"/>
        <v>17325</v>
      </c>
      <c r="G35" s="165">
        <f t="shared" si="13"/>
        <v>20790</v>
      </c>
      <c r="H35" s="165">
        <f t="shared" si="13"/>
        <v>24948</v>
      </c>
      <c r="I35" s="165">
        <f>H35*(1+I31)</f>
        <v>29937.599999999999</v>
      </c>
      <c r="J35" s="165">
        <f t="shared" si="13"/>
        <v>32931.360000000001</v>
      </c>
      <c r="K35" s="165">
        <f t="shared" si="13"/>
        <v>33919.300800000005</v>
      </c>
      <c r="L35" s="165">
        <f t="shared" si="13"/>
        <v>34936.879824000003</v>
      </c>
      <c r="M35" s="165">
        <f t="shared" si="13"/>
        <v>35984.986218720005</v>
      </c>
      <c r="N35" s="165"/>
      <c r="O35" s="165"/>
    </row>
    <row r="36" spans="1:15" x14ac:dyDescent="0.3">
      <c r="A36" s="74" t="s">
        <v>82</v>
      </c>
      <c r="B36" s="12" t="s">
        <v>3</v>
      </c>
      <c r="C36" s="164">
        <f t="shared" si="12"/>
        <v>73951.358878792526</v>
      </c>
      <c r="D36" s="188">
        <v>5000</v>
      </c>
      <c r="E36" s="165">
        <f t="shared" si="13"/>
        <v>5500</v>
      </c>
      <c r="F36" s="165">
        <f t="shared" si="13"/>
        <v>6050.0000000000009</v>
      </c>
      <c r="G36" s="165">
        <f t="shared" si="13"/>
        <v>6655.0000000000018</v>
      </c>
      <c r="H36" s="165">
        <f t="shared" si="13"/>
        <v>7320.5000000000027</v>
      </c>
      <c r="I36" s="165">
        <f t="shared" si="13"/>
        <v>8052.5500000000038</v>
      </c>
      <c r="J36" s="165">
        <f t="shared" si="13"/>
        <v>8455.1775000000052</v>
      </c>
      <c r="K36" s="165">
        <f t="shared" si="13"/>
        <v>8708.832825000005</v>
      </c>
      <c r="L36" s="165">
        <f t="shared" si="13"/>
        <v>8970.0978097500047</v>
      </c>
      <c r="M36" s="165">
        <f t="shared" si="13"/>
        <v>9239.2007440425059</v>
      </c>
      <c r="N36" s="165"/>
      <c r="O36" s="165"/>
    </row>
    <row r="37" spans="1:15" x14ac:dyDescent="0.3">
      <c r="A37" s="166" t="s">
        <v>77</v>
      </c>
      <c r="B37" s="12" t="s">
        <v>3</v>
      </c>
      <c r="C37" s="164">
        <f t="shared" si="12"/>
        <v>735565.2536666526</v>
      </c>
      <c r="D37" s="164">
        <f>SUM(D34:D36)</f>
        <v>40000</v>
      </c>
      <c r="E37" s="164">
        <f t="shared" ref="E37:L37" si="14">SUM(E34:E36)</f>
        <v>42250</v>
      </c>
      <c r="F37" s="164">
        <f t="shared" si="14"/>
        <v>46475</v>
      </c>
      <c r="G37" s="164">
        <f t="shared" si="14"/>
        <v>55165</v>
      </c>
      <c r="H37" s="164">
        <f t="shared" si="14"/>
        <v>68304.500000000015</v>
      </c>
      <c r="I37" s="164">
        <f>SUM(I34:I36)</f>
        <v>84836.950000000012</v>
      </c>
      <c r="J37" s="164">
        <f t="shared" si="14"/>
        <v>95260.357500000013</v>
      </c>
      <c r="K37" s="164">
        <f t="shared" si="14"/>
        <v>98118.168225000016</v>
      </c>
      <c r="L37" s="164">
        <f t="shared" si="14"/>
        <v>101061.71327175002</v>
      </c>
      <c r="M37" s="164">
        <f t="shared" ref="M37" si="15">SUM(M34:M36)</f>
        <v>104093.56466990251</v>
      </c>
      <c r="N37" s="164"/>
      <c r="O37" s="164">
        <f t="shared" ref="O37" si="16">SUM(O34:O36)</f>
        <v>0</v>
      </c>
    </row>
    <row r="38" spans="1:15" ht="15" customHeight="1" x14ac:dyDescent="0.35">
      <c r="A38" s="152" t="s">
        <v>40</v>
      </c>
      <c r="C38" s="164"/>
      <c r="D38" s="164"/>
      <c r="E38" s="164"/>
      <c r="F38" s="164"/>
      <c r="G38" s="164"/>
      <c r="H38" s="164"/>
      <c r="I38" s="164"/>
      <c r="J38" s="164"/>
      <c r="K38" s="164"/>
      <c r="L38" s="164"/>
      <c r="M38" s="164"/>
      <c r="N38" s="164"/>
      <c r="O38" s="164"/>
    </row>
    <row r="39" spans="1:15" x14ac:dyDescent="0.3">
      <c r="A39" s="70" t="s">
        <v>86</v>
      </c>
      <c r="B39" s="12" t="s">
        <v>3</v>
      </c>
      <c r="C39" s="165"/>
      <c r="D39" s="167">
        <f>D37/MAX($D37:$O37)</f>
        <v>0.38426967245138022</v>
      </c>
      <c r="E39" s="167">
        <f t="shared" ref="E39:N39" si="17">E37/MAX($D37:$O37)</f>
        <v>0.40588484152677035</v>
      </c>
      <c r="F39" s="167">
        <f t="shared" si="17"/>
        <v>0.44647332567944736</v>
      </c>
      <c r="G39" s="167">
        <f t="shared" si="17"/>
        <v>0.52995591201950976</v>
      </c>
      <c r="H39" s="167">
        <f t="shared" si="17"/>
        <v>0.6561836960488826</v>
      </c>
      <c r="I39" s="167">
        <f t="shared" si="17"/>
        <v>0.81500667470685306</v>
      </c>
      <c r="J39" s="167">
        <f t="shared" si="17"/>
        <v>0.91514165935315961</v>
      </c>
      <c r="K39" s="167">
        <f t="shared" si="17"/>
        <v>0.94259590913375446</v>
      </c>
      <c r="L39" s="167">
        <f t="shared" si="17"/>
        <v>0.97087378640776711</v>
      </c>
      <c r="M39" s="167">
        <f t="shared" si="17"/>
        <v>1</v>
      </c>
      <c r="N39" s="167">
        <f t="shared" si="17"/>
        <v>0</v>
      </c>
      <c r="O39" s="167">
        <f t="shared" ref="O39" si="18">O37/MAX($D37:$O37)</f>
        <v>0</v>
      </c>
    </row>
    <row r="40" spans="1:15" s="43" customFormat="1" ht="30.5" customHeight="1" x14ac:dyDescent="0.35">
      <c r="A40" s="111" t="s">
        <v>183</v>
      </c>
      <c r="B40" s="42"/>
      <c r="C40" s="145"/>
      <c r="D40" s="146"/>
      <c r="E40" s="146"/>
      <c r="F40" s="146"/>
      <c r="G40" s="146"/>
      <c r="H40" s="146"/>
      <c r="I40" s="146"/>
      <c r="J40" s="146"/>
      <c r="K40" s="146"/>
      <c r="L40" s="146"/>
      <c r="M40" s="146"/>
      <c r="N40" s="146"/>
      <c r="O40" s="146"/>
    </row>
    <row r="41" spans="1:15" ht="15" customHeight="1" x14ac:dyDescent="0.35">
      <c r="A41" s="152" t="s">
        <v>87</v>
      </c>
      <c r="C41" s="164"/>
      <c r="D41" s="164"/>
      <c r="E41" s="164"/>
      <c r="F41" s="164"/>
      <c r="G41" s="164"/>
      <c r="H41" s="164"/>
      <c r="I41" s="164"/>
      <c r="J41" s="164"/>
      <c r="K41" s="164"/>
      <c r="L41" s="164"/>
      <c r="M41" s="164"/>
      <c r="N41" s="164"/>
      <c r="O41" s="164"/>
    </row>
    <row r="42" spans="1:15" x14ac:dyDescent="0.3">
      <c r="A42" s="15" t="s">
        <v>422</v>
      </c>
      <c r="D42" s="120"/>
      <c r="E42" s="120"/>
      <c r="F42" s="120"/>
      <c r="G42" s="120"/>
      <c r="H42" s="120"/>
      <c r="I42" s="120"/>
      <c r="J42" s="120"/>
      <c r="K42" s="120"/>
      <c r="L42" s="120"/>
      <c r="M42" s="120"/>
      <c r="N42" s="120"/>
      <c r="O42" s="120"/>
    </row>
    <row r="43" spans="1:15" x14ac:dyDescent="0.3">
      <c r="A43" s="184" t="s">
        <v>88</v>
      </c>
      <c r="B43" s="185" t="s">
        <v>91</v>
      </c>
      <c r="C43" s="164"/>
      <c r="D43" s="186"/>
      <c r="E43" s="186">
        <v>0.02</v>
      </c>
      <c r="F43" s="186">
        <f>E43</f>
        <v>0.02</v>
      </c>
      <c r="G43" s="186">
        <f>F43</f>
        <v>0.02</v>
      </c>
      <c r="H43" s="186">
        <f t="shared" ref="H43:O43" si="19">G43</f>
        <v>0.02</v>
      </c>
      <c r="I43" s="186">
        <f t="shared" si="19"/>
        <v>0.02</v>
      </c>
      <c r="J43" s="186">
        <f t="shared" si="19"/>
        <v>0.02</v>
      </c>
      <c r="K43" s="186">
        <f t="shared" si="19"/>
        <v>0.02</v>
      </c>
      <c r="L43" s="186">
        <f t="shared" si="19"/>
        <v>0.02</v>
      </c>
      <c r="M43" s="186">
        <f t="shared" si="19"/>
        <v>0.02</v>
      </c>
      <c r="N43" s="186">
        <f t="shared" si="19"/>
        <v>0.02</v>
      </c>
      <c r="O43" s="186">
        <f t="shared" si="19"/>
        <v>0.02</v>
      </c>
    </row>
    <row r="44" spans="1:15" x14ac:dyDescent="0.3">
      <c r="A44" s="184" t="s">
        <v>89</v>
      </c>
      <c r="B44" s="185" t="s">
        <v>91</v>
      </c>
      <c r="C44" s="164"/>
      <c r="D44" s="186"/>
      <c r="E44" s="186">
        <v>0.02</v>
      </c>
      <c r="F44" s="186">
        <f t="shared" ref="F44:O45" si="20">E44</f>
        <v>0.02</v>
      </c>
      <c r="G44" s="186">
        <f t="shared" si="20"/>
        <v>0.02</v>
      </c>
      <c r="H44" s="186">
        <f t="shared" si="20"/>
        <v>0.02</v>
      </c>
      <c r="I44" s="186">
        <f t="shared" si="20"/>
        <v>0.02</v>
      </c>
      <c r="J44" s="186">
        <f t="shared" si="20"/>
        <v>0.02</v>
      </c>
      <c r="K44" s="186">
        <f t="shared" si="20"/>
        <v>0.02</v>
      </c>
      <c r="L44" s="186">
        <f t="shared" si="20"/>
        <v>0.02</v>
      </c>
      <c r="M44" s="186">
        <f t="shared" si="20"/>
        <v>0.02</v>
      </c>
      <c r="N44" s="186">
        <f t="shared" si="20"/>
        <v>0.02</v>
      </c>
      <c r="O44" s="186">
        <f t="shared" si="20"/>
        <v>0.02</v>
      </c>
    </row>
    <row r="45" spans="1:15" x14ac:dyDescent="0.3">
      <c r="A45" s="184" t="s">
        <v>90</v>
      </c>
      <c r="B45" s="185" t="s">
        <v>91</v>
      </c>
      <c r="C45" s="164"/>
      <c r="D45" s="186"/>
      <c r="E45" s="186">
        <v>0.02</v>
      </c>
      <c r="F45" s="186">
        <f t="shared" si="20"/>
        <v>0.02</v>
      </c>
      <c r="G45" s="186">
        <f t="shared" si="20"/>
        <v>0.02</v>
      </c>
      <c r="H45" s="186">
        <f t="shared" si="20"/>
        <v>0.02</v>
      </c>
      <c r="I45" s="186">
        <f t="shared" si="20"/>
        <v>0.02</v>
      </c>
      <c r="J45" s="186">
        <f t="shared" si="20"/>
        <v>0.02</v>
      </c>
      <c r="K45" s="186">
        <f t="shared" si="20"/>
        <v>0.02</v>
      </c>
      <c r="L45" s="186">
        <f t="shared" si="20"/>
        <v>0.02</v>
      </c>
      <c r="M45" s="186">
        <f t="shared" si="20"/>
        <v>0.02</v>
      </c>
      <c r="N45" s="186">
        <f t="shared" si="20"/>
        <v>0.02</v>
      </c>
      <c r="O45" s="186">
        <f t="shared" si="20"/>
        <v>0.02</v>
      </c>
    </row>
    <row r="46" spans="1:15" x14ac:dyDescent="0.3">
      <c r="A46" s="70"/>
      <c r="C46" s="165"/>
      <c r="D46" s="165"/>
      <c r="E46" s="165"/>
      <c r="F46" s="165"/>
      <c r="G46" s="165"/>
      <c r="H46" s="165"/>
      <c r="I46" s="165"/>
      <c r="J46" s="165"/>
      <c r="K46" s="165"/>
      <c r="L46" s="165"/>
      <c r="M46" s="165"/>
      <c r="N46" s="165"/>
      <c r="O46" s="165"/>
    </row>
    <row r="47" spans="1:15" x14ac:dyDescent="0.3">
      <c r="A47" s="74" t="s">
        <v>153</v>
      </c>
      <c r="B47" s="12" t="s">
        <v>205</v>
      </c>
      <c r="C47" s="164"/>
      <c r="D47" s="188">
        <v>38</v>
      </c>
      <c r="E47" s="165">
        <f>D47*(1-E43)</f>
        <v>37.24</v>
      </c>
      <c r="F47" s="165">
        <f t="shared" ref="F47:O47" si="21">E47*(1-F43)</f>
        <v>36.495200000000004</v>
      </c>
      <c r="G47" s="165">
        <f t="shared" si="21"/>
        <v>35.765296000000006</v>
      </c>
      <c r="H47" s="165">
        <f t="shared" si="21"/>
        <v>35.049990080000008</v>
      </c>
      <c r="I47" s="165">
        <f t="shared" si="21"/>
        <v>34.348990278400009</v>
      </c>
      <c r="J47" s="165">
        <f t="shared" si="21"/>
        <v>33.662010472832009</v>
      </c>
      <c r="K47" s="165">
        <f t="shared" si="21"/>
        <v>32.988770263375365</v>
      </c>
      <c r="L47" s="165">
        <f t="shared" si="21"/>
        <v>32.328994858107855</v>
      </c>
      <c r="M47" s="165">
        <f t="shared" si="21"/>
        <v>31.682414960945696</v>
      </c>
      <c r="N47" s="165">
        <f t="shared" si="21"/>
        <v>31.048766661726781</v>
      </c>
      <c r="O47" s="165">
        <f t="shared" si="21"/>
        <v>30.427791328492244</v>
      </c>
    </row>
    <row r="48" spans="1:15" x14ac:dyDescent="0.3">
      <c r="A48" s="74" t="s">
        <v>154</v>
      </c>
      <c r="B48" s="12" t="s">
        <v>205</v>
      </c>
      <c r="C48" s="164"/>
      <c r="D48" s="188">
        <v>48</v>
      </c>
      <c r="E48" s="165">
        <f t="shared" ref="E48:O49" si="22">D48*(1-E44)</f>
        <v>47.04</v>
      </c>
      <c r="F48" s="165">
        <f t="shared" si="22"/>
        <v>46.099199999999996</v>
      </c>
      <c r="G48" s="165">
        <f t="shared" si="22"/>
        <v>45.177215999999994</v>
      </c>
      <c r="H48" s="165">
        <f t="shared" si="22"/>
        <v>44.273671679999993</v>
      </c>
      <c r="I48" s="165">
        <f t="shared" si="22"/>
        <v>43.388198246399995</v>
      </c>
      <c r="J48" s="165">
        <f t="shared" si="22"/>
        <v>42.520434281471992</v>
      </c>
      <c r="K48" s="165">
        <f t="shared" si="22"/>
        <v>41.670025595842553</v>
      </c>
      <c r="L48" s="165">
        <f t="shared" si="22"/>
        <v>40.836625083925703</v>
      </c>
      <c r="M48" s="165">
        <f t="shared" si="22"/>
        <v>40.019892582247188</v>
      </c>
      <c r="N48" s="165">
        <f t="shared" si="22"/>
        <v>39.219494730602243</v>
      </c>
      <c r="O48" s="165">
        <f t="shared" si="22"/>
        <v>38.435104835990195</v>
      </c>
    </row>
    <row r="49" spans="1:15" x14ac:dyDescent="0.3">
      <c r="A49" s="74" t="s">
        <v>155</v>
      </c>
      <c r="B49" s="12" t="s">
        <v>205</v>
      </c>
      <c r="C49" s="164"/>
      <c r="D49" s="188">
        <v>58</v>
      </c>
      <c r="E49" s="165">
        <f t="shared" si="22"/>
        <v>56.839999999999996</v>
      </c>
      <c r="F49" s="165">
        <f t="shared" si="22"/>
        <v>55.703199999999995</v>
      </c>
      <c r="G49" s="165">
        <f t="shared" si="22"/>
        <v>54.589135999999996</v>
      </c>
      <c r="H49" s="165">
        <f t="shared" si="22"/>
        <v>53.497353279999999</v>
      </c>
      <c r="I49" s="165">
        <f t="shared" si="22"/>
        <v>52.427406214400001</v>
      </c>
      <c r="J49" s="165">
        <f t="shared" si="22"/>
        <v>51.378858090111997</v>
      </c>
      <c r="K49" s="165">
        <f t="shared" si="22"/>
        <v>50.351280928309755</v>
      </c>
      <c r="L49" s="165">
        <f t="shared" si="22"/>
        <v>49.344255309743559</v>
      </c>
      <c r="M49" s="165">
        <f t="shared" si="22"/>
        <v>48.35737020354869</v>
      </c>
      <c r="N49" s="165">
        <f t="shared" si="22"/>
        <v>47.390222799477712</v>
      </c>
      <c r="O49" s="165">
        <f t="shared" si="22"/>
        <v>46.442418343488157</v>
      </c>
    </row>
    <row r="50" spans="1:15" s="43" customFormat="1" ht="30.5" customHeight="1" x14ac:dyDescent="0.35">
      <c r="A50" s="111" t="s">
        <v>182</v>
      </c>
      <c r="B50" s="42"/>
      <c r="C50" s="145"/>
      <c r="D50" s="146"/>
      <c r="E50" s="146"/>
      <c r="F50" s="146"/>
      <c r="G50" s="146"/>
      <c r="H50" s="146"/>
      <c r="I50" s="146"/>
      <c r="J50" s="146"/>
      <c r="K50" s="146"/>
      <c r="L50" s="146"/>
      <c r="M50" s="146"/>
      <c r="N50" s="146"/>
      <c r="O50" s="146"/>
    </row>
    <row r="51" spans="1:15" x14ac:dyDescent="0.3">
      <c r="A51" s="74" t="s">
        <v>79</v>
      </c>
      <c r="B51" s="12" t="s">
        <v>17</v>
      </c>
      <c r="C51" s="164">
        <f>SUM(D51:O51)</f>
        <v>13605.62314936232</v>
      </c>
      <c r="D51" s="165">
        <f t="shared" ref="D51:O51" si="23">D34*D47/1000</f>
        <v>760</v>
      </c>
      <c r="E51" s="165">
        <f t="shared" si="23"/>
        <v>782.04</v>
      </c>
      <c r="F51" s="165">
        <f t="shared" si="23"/>
        <v>843.03912000000025</v>
      </c>
      <c r="G51" s="165">
        <f t="shared" si="23"/>
        <v>991.4140051200003</v>
      </c>
      <c r="H51" s="165">
        <f t="shared" si="23"/>
        <v>1263.0614425228807</v>
      </c>
      <c r="I51" s="165">
        <f t="shared" si="23"/>
        <v>1609.14027777415</v>
      </c>
      <c r="J51" s="165">
        <f t="shared" si="23"/>
        <v>1813.5010930514668</v>
      </c>
      <c r="K51" s="165">
        <f t="shared" si="23"/>
        <v>1830.5480033261504</v>
      </c>
      <c r="L51" s="165">
        <f t="shared" si="23"/>
        <v>1847.7551545574161</v>
      </c>
      <c r="M51" s="165">
        <f t="shared" si="23"/>
        <v>1865.1240530102555</v>
      </c>
      <c r="N51" s="165">
        <f t="shared" si="23"/>
        <v>0</v>
      </c>
      <c r="O51" s="165">
        <f t="shared" si="23"/>
        <v>0</v>
      </c>
    </row>
    <row r="52" spans="1:15" x14ac:dyDescent="0.3">
      <c r="A52" s="74" t="s">
        <v>81</v>
      </c>
      <c r="B52" s="12" t="s">
        <v>17</v>
      </c>
      <c r="C52" s="164">
        <f t="shared" ref="C52:C54" si="24">SUM(D52:O52)</f>
        <v>11282.754452764319</v>
      </c>
      <c r="D52" s="165">
        <f t="shared" ref="D52:O52" si="25">D35*D48/1000</f>
        <v>720</v>
      </c>
      <c r="E52" s="165">
        <f t="shared" si="25"/>
        <v>740.88</v>
      </c>
      <c r="F52" s="165">
        <f t="shared" si="25"/>
        <v>798.66863999999987</v>
      </c>
      <c r="G52" s="165">
        <f t="shared" si="25"/>
        <v>939.23432063999996</v>
      </c>
      <c r="H52" s="165">
        <f t="shared" si="25"/>
        <v>1104.5395610726398</v>
      </c>
      <c r="I52" s="165">
        <f t="shared" si="25"/>
        <v>1298.9385238214245</v>
      </c>
      <c r="J52" s="165">
        <f t="shared" si="25"/>
        <v>1400.2557286794956</v>
      </c>
      <c r="K52" s="165">
        <f t="shared" si="25"/>
        <v>1413.4181325290829</v>
      </c>
      <c r="L52" s="165">
        <f t="shared" si="25"/>
        <v>1426.7042629748564</v>
      </c>
      <c r="M52" s="165">
        <f t="shared" si="25"/>
        <v>1440.11528304682</v>
      </c>
      <c r="N52" s="165">
        <f t="shared" si="25"/>
        <v>0</v>
      </c>
      <c r="O52" s="165">
        <f t="shared" si="25"/>
        <v>0</v>
      </c>
    </row>
    <row r="53" spans="1:15" x14ac:dyDescent="0.3">
      <c r="A53" s="74" t="s">
        <v>83</v>
      </c>
      <c r="B53" s="12" t="s">
        <v>17</v>
      </c>
      <c r="C53" s="164">
        <f t="shared" si="24"/>
        <v>3879.0412449487176</v>
      </c>
      <c r="D53" s="165">
        <f t="shared" ref="D53:O53" si="26">D36*D49/1000</f>
        <v>290</v>
      </c>
      <c r="E53" s="165">
        <f t="shared" si="26"/>
        <v>312.62</v>
      </c>
      <c r="F53" s="165">
        <f t="shared" si="26"/>
        <v>337.00436000000002</v>
      </c>
      <c r="G53" s="165">
        <f t="shared" si="26"/>
        <v>363.29070008000008</v>
      </c>
      <c r="H53" s="165">
        <f t="shared" si="26"/>
        <v>391.62737468624016</v>
      </c>
      <c r="I53" s="165">
        <f t="shared" si="26"/>
        <v>422.1743099117669</v>
      </c>
      <c r="J53" s="165">
        <f t="shared" si="26"/>
        <v>434.41736489920817</v>
      </c>
      <c r="K53" s="165">
        <f t="shared" si="26"/>
        <v>438.50088812926072</v>
      </c>
      <c r="L53" s="165">
        <f t="shared" si="26"/>
        <v>442.62279647767571</v>
      </c>
      <c r="M53" s="165">
        <f t="shared" si="26"/>
        <v>446.78345076456594</v>
      </c>
      <c r="N53" s="165">
        <f t="shared" si="26"/>
        <v>0</v>
      </c>
      <c r="O53" s="165">
        <f t="shared" si="26"/>
        <v>0</v>
      </c>
    </row>
    <row r="54" spans="1:15" ht="15.5" x14ac:dyDescent="0.35">
      <c r="A54" s="25" t="s">
        <v>245</v>
      </c>
      <c r="B54" s="12" t="s">
        <v>17</v>
      </c>
      <c r="C54" s="23">
        <f t="shared" si="24"/>
        <v>28767.418847075358</v>
      </c>
      <c r="D54" s="32">
        <f>SUM(D51:D53)</f>
        <v>1770</v>
      </c>
      <c r="E54" s="32">
        <f t="shared" ref="E54" si="27">SUM(E51:E53)</f>
        <v>1835.54</v>
      </c>
      <c r="F54" s="32">
        <f t="shared" ref="F54" si="28">SUM(F51:F53)</f>
        <v>1978.7121200000001</v>
      </c>
      <c r="G54" s="32">
        <f t="shared" ref="G54" si="29">SUM(G51:G53)</f>
        <v>2293.9390258400003</v>
      </c>
      <c r="H54" s="32">
        <f t="shared" ref="H54" si="30">SUM(H51:H53)</f>
        <v>2759.2283782817608</v>
      </c>
      <c r="I54" s="32">
        <f t="shared" ref="I54" si="31">SUM(I51:I53)</f>
        <v>3330.2531115073416</v>
      </c>
      <c r="J54" s="32">
        <f t="shared" ref="J54" si="32">SUM(J51:J53)</f>
        <v>3648.1741866301709</v>
      </c>
      <c r="K54" s="32">
        <f t="shared" ref="K54" si="33">SUM(K51:K53)</f>
        <v>3682.4670239844936</v>
      </c>
      <c r="L54" s="32">
        <f t="shared" ref="L54:N54" si="34">SUM(L51:L53)</f>
        <v>3717.0822140099485</v>
      </c>
      <c r="M54" s="32">
        <f t="shared" si="34"/>
        <v>3752.0227868216416</v>
      </c>
      <c r="N54" s="32">
        <f t="shared" si="34"/>
        <v>0</v>
      </c>
      <c r="O54" s="32">
        <f t="shared" ref="O54" si="35">SUM(O51:O53)</f>
        <v>0</v>
      </c>
    </row>
    <row r="55" spans="1:15" x14ac:dyDescent="0.3">
      <c r="A55" s="70"/>
      <c r="C55" s="164"/>
      <c r="D55" s="165"/>
      <c r="E55" s="165"/>
      <c r="F55" s="165"/>
      <c r="G55" s="165"/>
      <c r="H55" s="165"/>
      <c r="I55" s="165"/>
      <c r="J55" s="165"/>
      <c r="K55" s="165"/>
      <c r="L55" s="165"/>
      <c r="M55" s="165"/>
      <c r="N55" s="165"/>
      <c r="O55" s="165"/>
    </row>
    <row r="56" spans="1:15" s="127" customFormat="1" ht="34.75" customHeight="1" x14ac:dyDescent="0.35">
      <c r="A56" s="5" t="str">
        <f t="shared" ref="A56:O56" si="36">A25</f>
        <v>Years --&gt;</v>
      </c>
      <c r="B56" s="5" t="str">
        <f t="shared" si="36"/>
        <v>units</v>
      </c>
      <c r="C56" s="5" t="str">
        <f t="shared" si="36"/>
        <v>Total</v>
      </c>
      <c r="D56" s="5">
        <f t="shared" si="36"/>
        <v>2026</v>
      </c>
      <c r="E56" s="5">
        <f t="shared" si="36"/>
        <v>2027</v>
      </c>
      <c r="F56" s="5">
        <f t="shared" si="36"/>
        <v>2028</v>
      </c>
      <c r="G56" s="5">
        <f t="shared" si="36"/>
        <v>2029</v>
      </c>
      <c r="H56" s="5">
        <f t="shared" si="36"/>
        <v>2030</v>
      </c>
      <c r="I56" s="5">
        <f t="shared" si="36"/>
        <v>2031</v>
      </c>
      <c r="J56" s="5">
        <f t="shared" si="36"/>
        <v>2032</v>
      </c>
      <c r="K56" s="5">
        <f t="shared" si="36"/>
        <v>2033</v>
      </c>
      <c r="L56" s="5">
        <f t="shared" si="36"/>
        <v>2034</v>
      </c>
      <c r="M56" s="5">
        <f t="shared" si="36"/>
        <v>2035</v>
      </c>
      <c r="N56" s="5">
        <f t="shared" si="36"/>
        <v>2036</v>
      </c>
      <c r="O56" s="5">
        <f t="shared" si="36"/>
        <v>2037</v>
      </c>
    </row>
    <row r="57" spans="1:15" s="43" customFormat="1" ht="30.5" customHeight="1" x14ac:dyDescent="0.35">
      <c r="A57" s="111" t="s">
        <v>184</v>
      </c>
      <c r="B57" s="42"/>
      <c r="C57" s="145"/>
      <c r="D57" s="146"/>
      <c r="E57" s="146"/>
      <c r="F57" s="146"/>
      <c r="G57" s="146"/>
      <c r="H57" s="146"/>
      <c r="I57" s="146"/>
      <c r="J57" s="146"/>
      <c r="K57" s="146"/>
      <c r="L57" s="146"/>
      <c r="M57" s="146"/>
      <c r="N57" s="146"/>
      <c r="O57" s="146"/>
    </row>
    <row r="58" spans="1:15" x14ac:dyDescent="0.3">
      <c r="A58" s="15" t="s">
        <v>329</v>
      </c>
      <c r="D58" s="120"/>
      <c r="E58" s="120"/>
      <c r="F58" s="120"/>
      <c r="G58" s="120"/>
      <c r="H58" s="120"/>
      <c r="I58" s="120"/>
      <c r="J58" s="120"/>
      <c r="K58" s="120"/>
      <c r="L58" s="120"/>
      <c r="M58" s="120"/>
      <c r="N58" s="120"/>
      <c r="O58" s="120"/>
    </row>
    <row r="59" spans="1:15" x14ac:dyDescent="0.3">
      <c r="A59" s="74" t="str">
        <f t="shared" ref="A59:O59" si="37">A37</f>
        <v>Total ABC units sold</v>
      </c>
      <c r="B59" s="74" t="str">
        <f t="shared" si="37"/>
        <v>units</v>
      </c>
      <c r="C59" s="164">
        <f t="shared" si="37"/>
        <v>735565.2536666526</v>
      </c>
      <c r="D59" s="165">
        <f t="shared" si="37"/>
        <v>40000</v>
      </c>
      <c r="E59" s="165">
        <f t="shared" si="37"/>
        <v>42250</v>
      </c>
      <c r="F59" s="165">
        <f t="shared" si="37"/>
        <v>46475</v>
      </c>
      <c r="G59" s="165">
        <f t="shared" si="37"/>
        <v>55165</v>
      </c>
      <c r="H59" s="165">
        <f t="shared" si="37"/>
        <v>68304.500000000015</v>
      </c>
      <c r="I59" s="165">
        <f t="shared" si="37"/>
        <v>84836.950000000012</v>
      </c>
      <c r="J59" s="165">
        <f t="shared" si="37"/>
        <v>95260.357500000013</v>
      </c>
      <c r="K59" s="165">
        <f t="shared" si="37"/>
        <v>98118.168225000016</v>
      </c>
      <c r="L59" s="165">
        <f t="shared" si="37"/>
        <v>101061.71327175002</v>
      </c>
      <c r="M59" s="165">
        <f t="shared" si="37"/>
        <v>104093.56466990251</v>
      </c>
      <c r="N59" s="165">
        <f t="shared" si="37"/>
        <v>0</v>
      </c>
      <c r="O59" s="165">
        <f t="shared" si="37"/>
        <v>0</v>
      </c>
    </row>
    <row r="60" spans="1:15" x14ac:dyDescent="0.3">
      <c r="A60" s="185" t="s">
        <v>92</v>
      </c>
      <c r="B60" s="185" t="s">
        <v>94</v>
      </c>
      <c r="C60" s="164"/>
      <c r="D60" s="187">
        <v>2</v>
      </c>
      <c r="E60" s="187">
        <f>D60</f>
        <v>2</v>
      </c>
      <c r="F60" s="187">
        <f t="shared" ref="F60:O60" si="38">E60</f>
        <v>2</v>
      </c>
      <c r="G60" s="187">
        <f t="shared" si="38"/>
        <v>2</v>
      </c>
      <c r="H60" s="187">
        <f t="shared" si="38"/>
        <v>2</v>
      </c>
      <c r="I60" s="187">
        <f t="shared" si="38"/>
        <v>2</v>
      </c>
      <c r="J60" s="187">
        <f t="shared" si="38"/>
        <v>2</v>
      </c>
      <c r="K60" s="187">
        <f t="shared" si="38"/>
        <v>2</v>
      </c>
      <c r="L60" s="187">
        <f t="shared" si="38"/>
        <v>2</v>
      </c>
      <c r="M60" s="187">
        <f t="shared" si="38"/>
        <v>2</v>
      </c>
      <c r="N60" s="187">
        <f t="shared" si="38"/>
        <v>2</v>
      </c>
      <c r="O60" s="187">
        <f t="shared" si="38"/>
        <v>2</v>
      </c>
    </row>
    <row r="61" spans="1:15" ht="15.5" x14ac:dyDescent="0.35">
      <c r="A61" s="25" t="s">
        <v>246</v>
      </c>
      <c r="B61" s="12" t="s">
        <v>17</v>
      </c>
      <c r="C61" s="23">
        <f t="shared" ref="C61" si="39">SUM(D61:O61)</f>
        <v>1471.1305073333051</v>
      </c>
      <c r="D61" s="32">
        <f>D59*D60/1000</f>
        <v>80</v>
      </c>
      <c r="E61" s="32">
        <f t="shared" ref="E61:O61" si="40">E59*E60/1000</f>
        <v>84.5</v>
      </c>
      <c r="F61" s="32">
        <f t="shared" si="40"/>
        <v>92.95</v>
      </c>
      <c r="G61" s="32">
        <f t="shared" si="40"/>
        <v>110.33</v>
      </c>
      <c r="H61" s="32">
        <f t="shared" si="40"/>
        <v>136.60900000000004</v>
      </c>
      <c r="I61" s="32">
        <f t="shared" si="40"/>
        <v>169.67390000000003</v>
      </c>
      <c r="J61" s="32">
        <f t="shared" si="40"/>
        <v>190.52071500000002</v>
      </c>
      <c r="K61" s="32">
        <f t="shared" si="40"/>
        <v>196.23633645000004</v>
      </c>
      <c r="L61" s="32">
        <f t="shared" si="40"/>
        <v>202.12342654350005</v>
      </c>
      <c r="M61" s="32">
        <f t="shared" si="40"/>
        <v>208.18712933980501</v>
      </c>
      <c r="N61" s="32">
        <f t="shared" si="40"/>
        <v>0</v>
      </c>
      <c r="O61" s="32">
        <f t="shared" si="40"/>
        <v>0</v>
      </c>
    </row>
    <row r="62" spans="1:15" x14ac:dyDescent="0.3">
      <c r="A62" s="166"/>
      <c r="C62" s="164"/>
      <c r="D62" s="164"/>
      <c r="E62" s="164"/>
      <c r="F62" s="164"/>
      <c r="G62" s="164"/>
      <c r="H62" s="164"/>
      <c r="I62" s="164"/>
      <c r="J62" s="164"/>
      <c r="K62" s="164"/>
      <c r="L62" s="164"/>
      <c r="M62" s="164"/>
      <c r="N62" s="164"/>
      <c r="O62" s="164"/>
    </row>
    <row r="63" spans="1:15" s="43" customFormat="1" ht="30.5" customHeight="1" x14ac:dyDescent="0.35">
      <c r="A63" s="111" t="s">
        <v>97</v>
      </c>
      <c r="B63" s="42"/>
      <c r="C63" s="145"/>
      <c r="D63" s="146"/>
      <c r="E63" s="146"/>
      <c r="F63" s="146"/>
      <c r="G63" s="146"/>
      <c r="H63" s="146"/>
      <c r="I63" s="146"/>
      <c r="J63" s="146"/>
      <c r="K63" s="146"/>
      <c r="L63" s="146"/>
      <c r="M63" s="146"/>
      <c r="N63" s="146"/>
      <c r="O63" s="146"/>
    </row>
    <row r="64" spans="1:15" ht="28.75" customHeight="1" x14ac:dyDescent="0.35">
      <c r="A64" s="152" t="s">
        <v>185</v>
      </c>
      <c r="C64" s="164"/>
      <c r="D64" s="164"/>
      <c r="E64" s="164"/>
      <c r="F64" s="164"/>
      <c r="G64" s="164"/>
      <c r="H64" s="164"/>
      <c r="I64" s="164"/>
      <c r="J64" s="164"/>
      <c r="K64" s="164"/>
      <c r="L64" s="164"/>
      <c r="M64" s="164"/>
      <c r="N64" s="164"/>
      <c r="O64" s="164"/>
    </row>
    <row r="65" spans="1:15" x14ac:dyDescent="0.3">
      <c r="A65" s="15" t="s">
        <v>330</v>
      </c>
      <c r="D65" s="120"/>
      <c r="E65" s="120"/>
      <c r="F65" s="120"/>
      <c r="G65" s="120"/>
      <c r="H65" s="120"/>
      <c r="I65" s="120"/>
      <c r="J65" s="120"/>
      <c r="K65" s="120"/>
      <c r="L65" s="120"/>
      <c r="M65" s="120"/>
      <c r="N65" s="120"/>
      <c r="O65" s="120"/>
    </row>
    <row r="66" spans="1:15" x14ac:dyDescent="0.3">
      <c r="A66" s="74" t="str">
        <f t="shared" ref="A66:O66" si="41">A37</f>
        <v>Total ABC units sold</v>
      </c>
      <c r="B66" s="74" t="str">
        <f t="shared" si="41"/>
        <v>units</v>
      </c>
      <c r="C66" s="164">
        <f t="shared" si="41"/>
        <v>735565.2536666526</v>
      </c>
      <c r="D66" s="165">
        <f t="shared" si="41"/>
        <v>40000</v>
      </c>
      <c r="E66" s="165">
        <f t="shared" si="41"/>
        <v>42250</v>
      </c>
      <c r="F66" s="165">
        <f t="shared" si="41"/>
        <v>46475</v>
      </c>
      <c r="G66" s="165">
        <f t="shared" si="41"/>
        <v>55165</v>
      </c>
      <c r="H66" s="165">
        <f t="shared" si="41"/>
        <v>68304.500000000015</v>
      </c>
      <c r="I66" s="165">
        <f t="shared" si="41"/>
        <v>84836.950000000012</v>
      </c>
      <c r="J66" s="165">
        <f t="shared" si="41"/>
        <v>95260.357500000013</v>
      </c>
      <c r="K66" s="165">
        <f t="shared" si="41"/>
        <v>98118.168225000016</v>
      </c>
      <c r="L66" s="165">
        <f t="shared" si="41"/>
        <v>101061.71327175002</v>
      </c>
      <c r="M66" s="165">
        <f t="shared" si="41"/>
        <v>104093.56466990251</v>
      </c>
      <c r="N66" s="165">
        <f t="shared" si="41"/>
        <v>0</v>
      </c>
      <c r="O66" s="165">
        <f t="shared" si="41"/>
        <v>0</v>
      </c>
    </row>
    <row r="67" spans="1:15" x14ac:dyDescent="0.3">
      <c r="A67" s="185" t="s">
        <v>297</v>
      </c>
      <c r="B67" s="185"/>
      <c r="C67" s="165"/>
      <c r="D67" s="187"/>
      <c r="E67" s="186">
        <v>0.1</v>
      </c>
      <c r="F67" s="186">
        <v>0.2</v>
      </c>
      <c r="G67" s="186">
        <v>0.5</v>
      </c>
      <c r="H67" s="186">
        <v>1</v>
      </c>
      <c r="I67" s="186">
        <v>1.2</v>
      </c>
      <c r="J67" s="186">
        <f>I67</f>
        <v>1.2</v>
      </c>
      <c r="K67" s="186">
        <f t="shared" ref="K67:O67" si="42">J67</f>
        <v>1.2</v>
      </c>
      <c r="L67" s="186">
        <f t="shared" si="42"/>
        <v>1.2</v>
      </c>
      <c r="M67" s="186">
        <f t="shared" si="42"/>
        <v>1.2</v>
      </c>
      <c r="N67" s="186">
        <f t="shared" si="42"/>
        <v>1.2</v>
      </c>
      <c r="O67" s="186">
        <f t="shared" si="42"/>
        <v>1.2</v>
      </c>
    </row>
    <row r="68" spans="1:15" x14ac:dyDescent="0.3">
      <c r="A68" s="74" t="s">
        <v>301</v>
      </c>
      <c r="B68" s="12" t="s">
        <v>3</v>
      </c>
      <c r="C68" s="164">
        <f>SUM(D68:O68)</f>
        <v>689451.90439998312</v>
      </c>
      <c r="D68" s="165">
        <f>D66*D67</f>
        <v>0</v>
      </c>
      <c r="E68" s="165">
        <f t="shared" ref="E68:O68" si="43">E66*E67</f>
        <v>4225</v>
      </c>
      <c r="F68" s="165">
        <f t="shared" si="43"/>
        <v>9295</v>
      </c>
      <c r="G68" s="165">
        <f t="shared" si="43"/>
        <v>27582.5</v>
      </c>
      <c r="H68" s="165">
        <f t="shared" si="43"/>
        <v>68304.500000000015</v>
      </c>
      <c r="I68" s="165">
        <f t="shared" si="43"/>
        <v>101804.34000000001</v>
      </c>
      <c r="J68" s="165">
        <f t="shared" si="43"/>
        <v>114312.42900000002</v>
      </c>
      <c r="K68" s="165">
        <f t="shared" si="43"/>
        <v>117741.80187000001</v>
      </c>
      <c r="L68" s="165">
        <f t="shared" si="43"/>
        <v>121274.05592610002</v>
      </c>
      <c r="M68" s="165">
        <f t="shared" si="43"/>
        <v>124912.27760388301</v>
      </c>
      <c r="N68" s="165">
        <f t="shared" si="43"/>
        <v>0</v>
      </c>
      <c r="O68" s="165">
        <f t="shared" si="43"/>
        <v>0</v>
      </c>
    </row>
    <row r="69" spans="1:15" ht="28.75" customHeight="1" x14ac:dyDescent="0.35">
      <c r="A69" s="152" t="s">
        <v>95</v>
      </c>
      <c r="C69" s="164"/>
      <c r="D69" s="164"/>
      <c r="E69" s="164"/>
      <c r="F69" s="164"/>
      <c r="G69" s="164"/>
      <c r="H69" s="164"/>
      <c r="I69" s="164"/>
      <c r="J69" s="164"/>
      <c r="K69" s="164"/>
      <c r="L69" s="164"/>
      <c r="M69" s="164"/>
      <c r="N69" s="164"/>
      <c r="O69" s="164"/>
    </row>
    <row r="70" spans="1:15" x14ac:dyDescent="0.3">
      <c r="A70" s="15" t="s">
        <v>331</v>
      </c>
      <c r="D70" s="120"/>
      <c r="E70" s="120"/>
      <c r="F70" s="120"/>
      <c r="G70" s="120"/>
      <c r="H70" s="120"/>
      <c r="I70" s="120"/>
      <c r="J70" s="120"/>
      <c r="K70" s="120"/>
      <c r="L70" s="120"/>
      <c r="M70" s="120"/>
      <c r="N70" s="120"/>
      <c r="O70" s="120"/>
    </row>
    <row r="71" spans="1:15" x14ac:dyDescent="0.3">
      <c r="A71" s="185" t="s">
        <v>186</v>
      </c>
      <c r="B71" s="185" t="s">
        <v>93</v>
      </c>
      <c r="C71" s="164"/>
      <c r="D71" s="189">
        <v>1.5</v>
      </c>
      <c r="E71" s="189">
        <f>D71</f>
        <v>1.5</v>
      </c>
      <c r="F71" s="189">
        <f t="shared" ref="F71:O71" si="44">E71</f>
        <v>1.5</v>
      </c>
      <c r="G71" s="189">
        <f t="shared" si="44"/>
        <v>1.5</v>
      </c>
      <c r="H71" s="189">
        <f t="shared" si="44"/>
        <v>1.5</v>
      </c>
      <c r="I71" s="189">
        <f t="shared" si="44"/>
        <v>1.5</v>
      </c>
      <c r="J71" s="189">
        <f t="shared" si="44"/>
        <v>1.5</v>
      </c>
      <c r="K71" s="189">
        <f t="shared" si="44"/>
        <v>1.5</v>
      </c>
      <c r="L71" s="189">
        <f t="shared" si="44"/>
        <v>1.5</v>
      </c>
      <c r="M71" s="189">
        <f t="shared" si="44"/>
        <v>1.5</v>
      </c>
      <c r="N71" s="189">
        <f t="shared" si="44"/>
        <v>1.5</v>
      </c>
      <c r="O71" s="189">
        <f t="shared" si="44"/>
        <v>1.5</v>
      </c>
    </row>
    <row r="72" spans="1:15" ht="15.5" x14ac:dyDescent="0.35">
      <c r="A72" s="25" t="s">
        <v>247</v>
      </c>
      <c r="B72" s="12" t="s">
        <v>17</v>
      </c>
      <c r="C72" s="23">
        <f t="shared" ref="C72" si="45">SUM(D72:O72)</f>
        <v>1034.1778565999748</v>
      </c>
      <c r="D72" s="32">
        <f>D68*D71/1000</f>
        <v>0</v>
      </c>
      <c r="E72" s="32">
        <f t="shared" ref="E72:O72" si="46">E68*E71/1000</f>
        <v>6.3375000000000004</v>
      </c>
      <c r="F72" s="32">
        <f t="shared" si="46"/>
        <v>13.942500000000001</v>
      </c>
      <c r="G72" s="32">
        <f t="shared" si="46"/>
        <v>41.373750000000001</v>
      </c>
      <c r="H72" s="32">
        <f t="shared" si="46"/>
        <v>102.45675000000003</v>
      </c>
      <c r="I72" s="32">
        <f t="shared" si="46"/>
        <v>152.70651000000001</v>
      </c>
      <c r="J72" s="32">
        <f t="shared" si="46"/>
        <v>171.46864350000004</v>
      </c>
      <c r="K72" s="32">
        <f t="shared" si="46"/>
        <v>176.612702805</v>
      </c>
      <c r="L72" s="32">
        <f t="shared" si="46"/>
        <v>181.91108388915004</v>
      </c>
      <c r="M72" s="32">
        <f t="shared" si="46"/>
        <v>187.36841640582452</v>
      </c>
      <c r="N72" s="32">
        <f t="shared" si="46"/>
        <v>0</v>
      </c>
      <c r="O72" s="32">
        <f t="shared" si="46"/>
        <v>0</v>
      </c>
    </row>
    <row r="73" spans="1:15" x14ac:dyDescent="0.3">
      <c r="A73" s="166"/>
      <c r="C73" s="164"/>
      <c r="D73" s="164"/>
      <c r="E73" s="164"/>
      <c r="F73" s="164"/>
      <c r="G73" s="164"/>
      <c r="H73" s="164"/>
      <c r="I73" s="164"/>
      <c r="J73" s="164"/>
      <c r="K73" s="164"/>
      <c r="L73" s="164"/>
      <c r="M73" s="164"/>
      <c r="N73" s="164"/>
      <c r="O73" s="164"/>
    </row>
    <row r="74" spans="1:15" s="43" customFormat="1" ht="30.5" customHeight="1" x14ac:dyDescent="0.35">
      <c r="A74" s="111" t="s">
        <v>96</v>
      </c>
      <c r="B74" s="42"/>
      <c r="C74" s="145"/>
      <c r="D74" s="146"/>
      <c r="E74" s="146"/>
      <c r="F74" s="146"/>
      <c r="G74" s="146"/>
      <c r="H74" s="146"/>
      <c r="I74" s="146"/>
      <c r="J74" s="146"/>
      <c r="K74" s="146"/>
      <c r="L74" s="146"/>
      <c r="M74" s="146"/>
      <c r="N74" s="146"/>
      <c r="O74" s="146"/>
    </row>
    <row r="75" spans="1:15" x14ac:dyDescent="0.3">
      <c r="A75" s="74" t="str">
        <f>A54</f>
        <v>Revenue from ABC units</v>
      </c>
      <c r="B75" s="74" t="str">
        <f>B54</f>
        <v>US$ 000  Real</v>
      </c>
      <c r="C75" s="164">
        <f t="shared" ref="C75:C77" si="47">SUM(D75:O75)</f>
        <v>28767.418847075358</v>
      </c>
      <c r="D75" s="165">
        <f t="shared" ref="D75:O75" si="48">D54</f>
        <v>1770</v>
      </c>
      <c r="E75" s="165">
        <f t="shared" si="48"/>
        <v>1835.54</v>
      </c>
      <c r="F75" s="165">
        <f t="shared" si="48"/>
        <v>1978.7121200000001</v>
      </c>
      <c r="G75" s="165">
        <f t="shared" si="48"/>
        <v>2293.9390258400003</v>
      </c>
      <c r="H75" s="165">
        <f t="shared" si="48"/>
        <v>2759.2283782817608</v>
      </c>
      <c r="I75" s="165">
        <f t="shared" si="48"/>
        <v>3330.2531115073416</v>
      </c>
      <c r="J75" s="165">
        <f t="shared" si="48"/>
        <v>3648.1741866301709</v>
      </c>
      <c r="K75" s="165">
        <f t="shared" si="48"/>
        <v>3682.4670239844936</v>
      </c>
      <c r="L75" s="165">
        <f t="shared" si="48"/>
        <v>3717.0822140099485</v>
      </c>
      <c r="M75" s="165">
        <f t="shared" si="48"/>
        <v>3752.0227868216416</v>
      </c>
      <c r="N75" s="165">
        <f t="shared" si="48"/>
        <v>0</v>
      </c>
      <c r="O75" s="165">
        <f t="shared" si="48"/>
        <v>0</v>
      </c>
    </row>
    <row r="76" spans="1:15" x14ac:dyDescent="0.3">
      <c r="A76" s="74" t="str">
        <f>A61</f>
        <v xml:space="preserve">Cash Grants from Results Based Financing </v>
      </c>
      <c r="B76" s="74" t="str">
        <f>B61</f>
        <v>US$ 000  Real</v>
      </c>
      <c r="C76" s="164">
        <f t="shared" si="47"/>
        <v>1471.1305073333051</v>
      </c>
      <c r="D76" s="165">
        <f t="shared" ref="D76:O76" si="49">D61</f>
        <v>80</v>
      </c>
      <c r="E76" s="165">
        <f t="shared" si="49"/>
        <v>84.5</v>
      </c>
      <c r="F76" s="165">
        <f t="shared" si="49"/>
        <v>92.95</v>
      </c>
      <c r="G76" s="165">
        <f t="shared" si="49"/>
        <v>110.33</v>
      </c>
      <c r="H76" s="165">
        <f t="shared" si="49"/>
        <v>136.60900000000004</v>
      </c>
      <c r="I76" s="165">
        <f t="shared" si="49"/>
        <v>169.67390000000003</v>
      </c>
      <c r="J76" s="165">
        <f t="shared" si="49"/>
        <v>190.52071500000002</v>
      </c>
      <c r="K76" s="165">
        <f t="shared" si="49"/>
        <v>196.23633645000004</v>
      </c>
      <c r="L76" s="165">
        <f t="shared" si="49"/>
        <v>202.12342654350005</v>
      </c>
      <c r="M76" s="165">
        <f t="shared" si="49"/>
        <v>208.18712933980501</v>
      </c>
      <c r="N76" s="165">
        <f t="shared" si="49"/>
        <v>0</v>
      </c>
      <c r="O76" s="165">
        <f t="shared" si="49"/>
        <v>0</v>
      </c>
    </row>
    <row r="77" spans="1:15" x14ac:dyDescent="0.3">
      <c r="A77" s="74" t="str">
        <f>A72</f>
        <v>Commissions from international sales of ABC's</v>
      </c>
      <c r="B77" s="74" t="str">
        <f>B72</f>
        <v>US$ 000  Real</v>
      </c>
      <c r="C77" s="164">
        <f t="shared" si="47"/>
        <v>1034.1778565999748</v>
      </c>
      <c r="D77" s="165">
        <f t="shared" ref="D77:O77" si="50">D72</f>
        <v>0</v>
      </c>
      <c r="E77" s="165">
        <f t="shared" si="50"/>
        <v>6.3375000000000004</v>
      </c>
      <c r="F77" s="165">
        <f t="shared" si="50"/>
        <v>13.942500000000001</v>
      </c>
      <c r="G77" s="165">
        <f t="shared" si="50"/>
        <v>41.373750000000001</v>
      </c>
      <c r="H77" s="165">
        <f t="shared" si="50"/>
        <v>102.45675000000003</v>
      </c>
      <c r="I77" s="165">
        <f t="shared" si="50"/>
        <v>152.70651000000001</v>
      </c>
      <c r="J77" s="165">
        <f t="shared" si="50"/>
        <v>171.46864350000004</v>
      </c>
      <c r="K77" s="165">
        <f t="shared" si="50"/>
        <v>176.612702805</v>
      </c>
      <c r="L77" s="165">
        <f t="shared" si="50"/>
        <v>181.91108388915004</v>
      </c>
      <c r="M77" s="165">
        <f t="shared" si="50"/>
        <v>187.36841640582452</v>
      </c>
      <c r="N77" s="165">
        <f t="shared" si="50"/>
        <v>0</v>
      </c>
      <c r="O77" s="165">
        <f t="shared" si="50"/>
        <v>0</v>
      </c>
    </row>
    <row r="78" spans="1:15" ht="18.5" x14ac:dyDescent="0.45">
      <c r="A78" s="25" t="s">
        <v>20</v>
      </c>
      <c r="B78" s="12" t="s">
        <v>46</v>
      </c>
      <c r="C78" s="34">
        <f t="shared" ref="C78" si="51">SUM(D78:O78)</f>
        <v>31272.727211008638</v>
      </c>
      <c r="D78" s="190">
        <f t="shared" ref="D78:O78" si="52">SUM(D75:D77)</f>
        <v>1850</v>
      </c>
      <c r="E78" s="190">
        <f t="shared" si="52"/>
        <v>1926.3775000000001</v>
      </c>
      <c r="F78" s="190">
        <f t="shared" si="52"/>
        <v>2085.6046200000001</v>
      </c>
      <c r="G78" s="190">
        <f t="shared" si="52"/>
        <v>2445.6427758400005</v>
      </c>
      <c r="H78" s="190">
        <f t="shared" si="52"/>
        <v>2998.2941282817605</v>
      </c>
      <c r="I78" s="190">
        <f t="shared" si="52"/>
        <v>3652.6335215073418</v>
      </c>
      <c r="J78" s="190">
        <f t="shared" si="52"/>
        <v>4010.1635451301709</v>
      </c>
      <c r="K78" s="190">
        <f t="shared" si="52"/>
        <v>4055.3160632394938</v>
      </c>
      <c r="L78" s="190">
        <f t="shared" si="52"/>
        <v>4101.1167244425988</v>
      </c>
      <c r="M78" s="190">
        <f t="shared" si="52"/>
        <v>4147.578332567271</v>
      </c>
      <c r="N78" s="190">
        <f t="shared" si="52"/>
        <v>0</v>
      </c>
      <c r="O78" s="190">
        <f t="shared" si="52"/>
        <v>0</v>
      </c>
    </row>
    <row r="79" spans="1:15" x14ac:dyDescent="0.3">
      <c r="A79" s="70"/>
      <c r="C79" s="164"/>
      <c r="D79" s="165"/>
      <c r="E79" s="165"/>
      <c r="F79" s="165"/>
      <c r="G79" s="165"/>
      <c r="H79" s="165"/>
      <c r="I79" s="165"/>
      <c r="J79" s="165"/>
      <c r="K79" s="165"/>
      <c r="L79" s="165"/>
      <c r="M79" s="165"/>
      <c r="N79" s="165"/>
      <c r="O79" s="165"/>
    </row>
    <row r="80" spans="1:15" s="43" customFormat="1" ht="30.5" customHeight="1" x14ac:dyDescent="0.35">
      <c r="A80" s="111" t="s">
        <v>328</v>
      </c>
      <c r="B80" s="42"/>
      <c r="C80" s="145"/>
      <c r="D80" s="146"/>
      <c r="E80" s="146"/>
      <c r="F80" s="146"/>
      <c r="G80" s="146"/>
      <c r="H80" s="146"/>
      <c r="I80" s="146"/>
      <c r="J80" s="146"/>
      <c r="K80" s="146"/>
      <c r="L80" s="146"/>
      <c r="M80" s="146"/>
      <c r="N80" s="146"/>
      <c r="O80" s="146"/>
    </row>
    <row r="81" spans="1:29" ht="28.75" customHeight="1" x14ac:dyDescent="0.35">
      <c r="A81" s="152" t="s">
        <v>298</v>
      </c>
      <c r="C81" s="164"/>
      <c r="D81" s="164"/>
      <c r="E81" s="164"/>
      <c r="F81" s="164"/>
      <c r="G81" s="164"/>
      <c r="H81" s="164"/>
      <c r="I81" s="164"/>
      <c r="J81" s="164"/>
      <c r="K81" s="164"/>
      <c r="L81" s="164"/>
      <c r="M81" s="164"/>
      <c r="N81" s="164"/>
      <c r="O81" s="164"/>
    </row>
    <row r="82" spans="1:29" x14ac:dyDescent="0.3">
      <c r="A82" s="15" t="s">
        <v>332</v>
      </c>
      <c r="D82" s="113"/>
      <c r="E82" s="120"/>
      <c r="F82" s="120"/>
      <c r="G82" s="120"/>
      <c r="H82" s="120"/>
      <c r="I82" s="120"/>
      <c r="J82" s="120"/>
      <c r="K82" s="120"/>
      <c r="L82" s="120"/>
      <c r="M82" s="120"/>
      <c r="N82" s="120"/>
      <c r="O82" s="120"/>
      <c r="Q82" s="75"/>
    </row>
    <row r="83" spans="1:29" x14ac:dyDescent="0.3">
      <c r="A83" s="184" t="s">
        <v>98</v>
      </c>
      <c r="B83" s="185" t="s">
        <v>14</v>
      </c>
      <c r="C83" s="164"/>
      <c r="D83" s="187">
        <v>14</v>
      </c>
      <c r="E83" s="187">
        <f>D83</f>
        <v>14</v>
      </c>
      <c r="F83" s="187">
        <f t="shared" ref="F83:O83" si="53">E83</f>
        <v>14</v>
      </c>
      <c r="G83" s="187">
        <f t="shared" si="53"/>
        <v>14</v>
      </c>
      <c r="H83" s="187">
        <f t="shared" si="53"/>
        <v>14</v>
      </c>
      <c r="I83" s="187">
        <f t="shared" si="53"/>
        <v>14</v>
      </c>
      <c r="J83" s="187">
        <f t="shared" si="53"/>
        <v>14</v>
      </c>
      <c r="K83" s="187">
        <f t="shared" si="53"/>
        <v>14</v>
      </c>
      <c r="L83" s="187">
        <f t="shared" si="53"/>
        <v>14</v>
      </c>
      <c r="M83" s="187">
        <f t="shared" si="53"/>
        <v>14</v>
      </c>
      <c r="N83" s="187">
        <f t="shared" si="53"/>
        <v>14</v>
      </c>
      <c r="O83" s="187">
        <f t="shared" si="53"/>
        <v>14</v>
      </c>
      <c r="Q83" s="75"/>
    </row>
    <row r="84" spans="1:29" x14ac:dyDescent="0.3">
      <c r="A84" s="74" t="s">
        <v>300</v>
      </c>
      <c r="B84" s="12" t="s">
        <v>17</v>
      </c>
      <c r="C84" s="164"/>
      <c r="D84" s="165">
        <f t="shared" ref="D84:O84" si="54">D54/365*D83</f>
        <v>67.890410958904113</v>
      </c>
      <c r="E84" s="165">
        <f t="shared" si="54"/>
        <v>70.404273972602738</v>
      </c>
      <c r="F84" s="165">
        <f t="shared" si="54"/>
        <v>75.895807342465758</v>
      </c>
      <c r="G84" s="165">
        <f t="shared" si="54"/>
        <v>87.986702360986314</v>
      </c>
      <c r="H84" s="165">
        <f t="shared" si="54"/>
        <v>105.83341724916343</v>
      </c>
      <c r="I84" s="165">
        <f t="shared" si="54"/>
        <v>127.73573578384325</v>
      </c>
      <c r="J84" s="165">
        <f t="shared" si="54"/>
        <v>139.92996880225311</v>
      </c>
      <c r="K84" s="165">
        <f t="shared" si="54"/>
        <v>141.24531050899427</v>
      </c>
      <c r="L84" s="165">
        <f t="shared" si="54"/>
        <v>142.57301642777884</v>
      </c>
      <c r="M84" s="165">
        <f t="shared" si="54"/>
        <v>143.91320278219996</v>
      </c>
      <c r="N84" s="165">
        <f t="shared" si="54"/>
        <v>0</v>
      </c>
      <c r="O84" s="165">
        <f t="shared" si="54"/>
        <v>0</v>
      </c>
    </row>
    <row r="85" spans="1:29" ht="20.25" customHeight="1" x14ac:dyDescent="0.35">
      <c r="A85" s="152" t="s">
        <v>248</v>
      </c>
      <c r="C85" s="164"/>
      <c r="D85" s="164"/>
      <c r="E85" s="164"/>
      <c r="F85" s="164"/>
      <c r="G85" s="164"/>
      <c r="H85" s="164"/>
      <c r="I85" s="164"/>
      <c r="J85" s="164"/>
      <c r="K85" s="164"/>
      <c r="L85" s="164"/>
      <c r="M85" s="164"/>
      <c r="N85" s="164"/>
      <c r="O85" s="164"/>
    </row>
    <row r="86" spans="1:29" x14ac:dyDescent="0.3">
      <c r="A86" s="15" t="s">
        <v>333</v>
      </c>
      <c r="D86" s="113"/>
      <c r="E86" s="120"/>
      <c r="F86" s="120"/>
      <c r="G86" s="120"/>
      <c r="H86" s="120"/>
      <c r="I86" s="120"/>
      <c r="J86" s="120"/>
      <c r="K86" s="120"/>
      <c r="L86" s="120"/>
      <c r="M86" s="120"/>
      <c r="N86" s="120"/>
      <c r="O86" s="120"/>
      <c r="Q86" s="75"/>
    </row>
    <row r="87" spans="1:29" x14ac:dyDescent="0.3">
      <c r="A87" s="184" t="s">
        <v>98</v>
      </c>
      <c r="B87" s="185" t="s">
        <v>14</v>
      </c>
      <c r="C87" s="164"/>
      <c r="D87" s="187">
        <v>183</v>
      </c>
      <c r="E87" s="187">
        <f>D87</f>
        <v>183</v>
      </c>
      <c r="F87" s="187">
        <f t="shared" ref="F87:O87" si="55">E87</f>
        <v>183</v>
      </c>
      <c r="G87" s="187">
        <f t="shared" si="55"/>
        <v>183</v>
      </c>
      <c r="H87" s="187">
        <f t="shared" si="55"/>
        <v>183</v>
      </c>
      <c r="I87" s="187">
        <f t="shared" si="55"/>
        <v>183</v>
      </c>
      <c r="J87" s="187">
        <f t="shared" si="55"/>
        <v>183</v>
      </c>
      <c r="K87" s="187">
        <f t="shared" si="55"/>
        <v>183</v>
      </c>
      <c r="L87" s="187">
        <f t="shared" si="55"/>
        <v>183</v>
      </c>
      <c r="M87" s="187">
        <f t="shared" si="55"/>
        <v>183</v>
      </c>
      <c r="N87" s="187">
        <f t="shared" si="55"/>
        <v>183</v>
      </c>
      <c r="O87" s="187">
        <f t="shared" si="55"/>
        <v>183</v>
      </c>
      <c r="Q87" s="75"/>
    </row>
    <row r="88" spans="1:29" x14ac:dyDescent="0.3">
      <c r="A88" s="74" t="s">
        <v>99</v>
      </c>
      <c r="B88" s="12" t="s">
        <v>17</v>
      </c>
      <c r="C88" s="164"/>
      <c r="D88" s="165">
        <f t="shared" ref="D88:O88" si="56">(D61+D72)/365*D87</f>
        <v>40.109589041095887</v>
      </c>
      <c r="E88" s="165">
        <f t="shared" si="56"/>
        <v>45.54318493150685</v>
      </c>
      <c r="F88" s="165">
        <f t="shared" si="56"/>
        <v>53.592678082191782</v>
      </c>
      <c r="G88" s="165">
        <f t="shared" si="56"/>
        <v>76.059688356164386</v>
      </c>
      <c r="H88" s="165">
        <f t="shared" si="56"/>
        <v>119.86036232876717</v>
      </c>
      <c r="I88" s="165">
        <f t="shared" si="56"/>
        <v>161.631822</v>
      </c>
      <c r="J88" s="165">
        <f t="shared" si="56"/>
        <v>181.49055508356167</v>
      </c>
      <c r="K88" s="165">
        <f t="shared" si="56"/>
        <v>186.9352717360685</v>
      </c>
      <c r="L88" s="165">
        <f t="shared" si="56"/>
        <v>192.54332988815062</v>
      </c>
      <c r="M88" s="165">
        <f t="shared" si="56"/>
        <v>198.31962978479507</v>
      </c>
      <c r="N88" s="165">
        <f t="shared" si="56"/>
        <v>0</v>
      </c>
      <c r="O88" s="165">
        <f t="shared" si="56"/>
        <v>0</v>
      </c>
    </row>
    <row r="89" spans="1:29" ht="18" customHeight="1" x14ac:dyDescent="0.35">
      <c r="A89" s="152" t="s">
        <v>22</v>
      </c>
      <c r="C89" s="164"/>
      <c r="D89" s="165"/>
      <c r="E89" s="165"/>
      <c r="F89" s="165"/>
      <c r="G89" s="165"/>
      <c r="H89" s="165"/>
      <c r="I89" s="165"/>
      <c r="J89" s="165"/>
      <c r="K89" s="165"/>
      <c r="L89" s="165"/>
      <c r="M89" s="165"/>
      <c r="N89" s="165"/>
      <c r="O89" s="165"/>
    </row>
    <row r="90" spans="1:29" ht="13.5" thickBot="1" x14ac:dyDescent="0.35">
      <c r="A90" s="70" t="s">
        <v>22</v>
      </c>
      <c r="B90" s="12" t="s">
        <v>17</v>
      </c>
      <c r="C90" s="165"/>
      <c r="D90" s="169">
        <f>D84+D88</f>
        <v>108</v>
      </c>
      <c r="E90" s="169">
        <f t="shared" ref="E90:O90" si="57">E84+E88</f>
        <v>115.9474589041096</v>
      </c>
      <c r="F90" s="169">
        <f t="shared" si="57"/>
        <v>129.48848542465754</v>
      </c>
      <c r="G90" s="169">
        <f t="shared" si="57"/>
        <v>164.0463907171507</v>
      </c>
      <c r="H90" s="169">
        <f t="shared" si="57"/>
        <v>225.6937795779306</v>
      </c>
      <c r="I90" s="169">
        <f t="shared" si="57"/>
        <v>289.36755778384327</v>
      </c>
      <c r="J90" s="169">
        <f t="shared" si="57"/>
        <v>321.42052388581476</v>
      </c>
      <c r="K90" s="169">
        <f t="shared" si="57"/>
        <v>328.18058224506274</v>
      </c>
      <c r="L90" s="169">
        <f t="shared" si="57"/>
        <v>335.11634631592949</v>
      </c>
      <c r="M90" s="169">
        <f t="shared" si="57"/>
        <v>342.23283256699506</v>
      </c>
      <c r="N90" s="169">
        <f t="shared" si="57"/>
        <v>0</v>
      </c>
      <c r="O90" s="169">
        <f t="shared" si="57"/>
        <v>0</v>
      </c>
    </row>
    <row r="91" spans="1:29" ht="18.5" x14ac:dyDescent="0.45">
      <c r="A91" s="25" t="s">
        <v>249</v>
      </c>
      <c r="B91" s="12" t="s">
        <v>17</v>
      </c>
      <c r="C91" s="34">
        <f t="shared" ref="C91" si="58">SUM(D91:O91)</f>
        <v>0</v>
      </c>
      <c r="D91" s="190">
        <f>D90</f>
        <v>108</v>
      </c>
      <c r="E91" s="190">
        <f>E90-D90</f>
        <v>7.9474589041095953</v>
      </c>
      <c r="F91" s="190">
        <f t="shared" ref="F91:O91" si="59">F90-E90</f>
        <v>13.541026520547945</v>
      </c>
      <c r="G91" s="190">
        <f t="shared" si="59"/>
        <v>34.55790529249316</v>
      </c>
      <c r="H91" s="190">
        <f t="shared" si="59"/>
        <v>61.647388860779898</v>
      </c>
      <c r="I91" s="190">
        <f t="shared" si="59"/>
        <v>63.673778205912669</v>
      </c>
      <c r="J91" s="190">
        <f t="shared" si="59"/>
        <v>32.052966101971492</v>
      </c>
      <c r="K91" s="190">
        <f t="shared" si="59"/>
        <v>6.7600583592479779</v>
      </c>
      <c r="L91" s="190">
        <f t="shared" si="59"/>
        <v>6.9357640708667532</v>
      </c>
      <c r="M91" s="190">
        <f t="shared" si="59"/>
        <v>7.1164862510655666</v>
      </c>
      <c r="N91" s="190">
        <f t="shared" si="59"/>
        <v>-342.23283256699506</v>
      </c>
      <c r="O91" s="190">
        <f t="shared" si="59"/>
        <v>0</v>
      </c>
    </row>
    <row r="92" spans="1:29" s="70" customFormat="1" x14ac:dyDescent="0.3">
      <c r="A92" s="192" t="s">
        <v>21</v>
      </c>
      <c r="B92" s="193"/>
      <c r="C92" s="194" t="str">
        <f>IF(C91=0,"OK","ERROR: Sales do not equal Production!")</f>
        <v>OK</v>
      </c>
      <c r="D92" s="165"/>
      <c r="E92" s="165"/>
      <c r="F92" s="165"/>
      <c r="G92" s="165"/>
      <c r="H92" s="165"/>
      <c r="I92" s="165"/>
      <c r="J92" s="165"/>
      <c r="K92" s="165"/>
      <c r="L92" s="165"/>
      <c r="M92" s="165"/>
      <c r="N92" s="165"/>
    </row>
    <row r="93" spans="1:29" x14ac:dyDescent="0.3">
      <c r="A93" s="70"/>
      <c r="C93" s="164"/>
      <c r="D93" s="165"/>
      <c r="E93" s="165"/>
      <c r="F93" s="165"/>
      <c r="G93" s="165"/>
      <c r="H93" s="165"/>
      <c r="I93" s="165"/>
      <c r="J93" s="165"/>
      <c r="K93" s="165"/>
      <c r="L93" s="165"/>
      <c r="M93" s="165"/>
      <c r="N93" s="165"/>
      <c r="O93" s="165"/>
    </row>
    <row r="94" spans="1:29" ht="21" x14ac:dyDescent="0.5">
      <c r="A94" s="56" t="s">
        <v>334</v>
      </c>
      <c r="B94" s="12" t="s">
        <v>17</v>
      </c>
      <c r="C94" s="29">
        <f>SUM(D94:O94)</f>
        <v>31272.727211008641</v>
      </c>
      <c r="D94" s="191">
        <f t="shared" ref="D94:O94" si="60">D78-D91</f>
        <v>1742</v>
      </c>
      <c r="E94" s="191">
        <f t="shared" si="60"/>
        <v>1918.4300410958904</v>
      </c>
      <c r="F94" s="191">
        <f t="shared" si="60"/>
        <v>2072.0635934794523</v>
      </c>
      <c r="G94" s="191">
        <f t="shared" si="60"/>
        <v>2411.0848705475073</v>
      </c>
      <c r="H94" s="191">
        <f t="shared" si="60"/>
        <v>2936.6467394209808</v>
      </c>
      <c r="I94" s="191">
        <f t="shared" si="60"/>
        <v>3588.9597433014292</v>
      </c>
      <c r="J94" s="191">
        <f t="shared" si="60"/>
        <v>3978.1105790281995</v>
      </c>
      <c r="K94" s="191">
        <f t="shared" si="60"/>
        <v>4048.5560048802458</v>
      </c>
      <c r="L94" s="191">
        <f t="shared" si="60"/>
        <v>4094.180960371732</v>
      </c>
      <c r="M94" s="191">
        <f t="shared" si="60"/>
        <v>4140.4618463162051</v>
      </c>
      <c r="N94" s="191">
        <f t="shared" si="60"/>
        <v>342.23283256699506</v>
      </c>
      <c r="O94" s="191">
        <f t="shared" si="60"/>
        <v>0</v>
      </c>
    </row>
    <row r="95" spans="1:29" s="174" customFormat="1" ht="37.5" customHeight="1" x14ac:dyDescent="0.35">
      <c r="A95" s="195" t="s">
        <v>23</v>
      </c>
      <c r="B95" s="196"/>
      <c r="C95" s="197" t="str">
        <f>IF(C94=C78,"OK","ERROR: Sales do not equal Production!")</f>
        <v>OK</v>
      </c>
      <c r="D95" s="176"/>
      <c r="E95" s="176"/>
      <c r="F95" s="176"/>
      <c r="G95" s="176"/>
      <c r="H95" s="176"/>
      <c r="I95" s="176"/>
      <c r="J95" s="176"/>
      <c r="K95" s="176"/>
      <c r="L95" s="176"/>
      <c r="M95" s="176"/>
      <c r="N95" s="176"/>
      <c r="O95" s="176"/>
    </row>
    <row r="96" spans="1:29" s="86" customFormat="1" ht="45.65" customHeight="1" x14ac:dyDescent="0.35">
      <c r="A96" s="86" t="str">
        <f>A$25</f>
        <v>Years --&gt;</v>
      </c>
      <c r="B96" s="151"/>
      <c r="C96" s="73" t="str">
        <f t="shared" ref="C96:O96" si="61">C$25</f>
        <v>Total</v>
      </c>
      <c r="D96" s="5">
        <f t="shared" si="61"/>
        <v>2026</v>
      </c>
      <c r="E96" s="5">
        <f t="shared" si="61"/>
        <v>2027</v>
      </c>
      <c r="F96" s="5">
        <f t="shared" si="61"/>
        <v>2028</v>
      </c>
      <c r="G96" s="5">
        <f t="shared" si="61"/>
        <v>2029</v>
      </c>
      <c r="H96" s="5">
        <f t="shared" si="61"/>
        <v>2030</v>
      </c>
      <c r="I96" s="5">
        <f t="shared" si="61"/>
        <v>2031</v>
      </c>
      <c r="J96" s="5">
        <f t="shared" si="61"/>
        <v>2032</v>
      </c>
      <c r="K96" s="5">
        <f t="shared" si="61"/>
        <v>2033</v>
      </c>
      <c r="L96" s="5">
        <f t="shared" si="61"/>
        <v>2034</v>
      </c>
      <c r="M96" s="5">
        <f t="shared" si="61"/>
        <v>2035</v>
      </c>
      <c r="N96" s="5">
        <f t="shared" si="61"/>
        <v>2036</v>
      </c>
      <c r="O96" s="5">
        <f t="shared" si="61"/>
        <v>2037</v>
      </c>
      <c r="P96" s="151"/>
      <c r="Q96" s="151"/>
      <c r="R96" s="151"/>
      <c r="S96" s="151"/>
      <c r="T96" s="151"/>
      <c r="U96" s="151"/>
      <c r="V96" s="151"/>
      <c r="W96" s="151"/>
      <c r="X96" s="151"/>
      <c r="Y96" s="151"/>
      <c r="Z96" s="151"/>
      <c r="AA96" s="151"/>
      <c r="AB96" s="151"/>
      <c r="AC96" s="151"/>
    </row>
    <row r="134" spans="1:4" ht="14.5" customHeight="1" x14ac:dyDescent="0.3"/>
    <row r="138" spans="1:4" x14ac:dyDescent="0.3">
      <c r="A138" s="85" t="s">
        <v>5</v>
      </c>
    </row>
    <row r="139" spans="1:4" x14ac:dyDescent="0.3">
      <c r="A139" s="12" t="s">
        <v>6</v>
      </c>
    </row>
    <row r="140" spans="1:4" x14ac:dyDescent="0.3">
      <c r="A140" s="177" t="s">
        <v>2</v>
      </c>
      <c r="B140" s="80" t="s">
        <v>12</v>
      </c>
      <c r="C140" s="178">
        <v>0.36</v>
      </c>
      <c r="D140" s="178">
        <v>0.36</v>
      </c>
    </row>
  </sheetData>
  <pageMargins left="0.70866141732283472" right="0.70866141732283472" top="0.74803149606299213" bottom="0.74803149606299213"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09"/>
  <sheetViews>
    <sheetView zoomScaleNormal="100" workbookViewId="0">
      <selection activeCell="D1" sqref="D1"/>
    </sheetView>
  </sheetViews>
  <sheetFormatPr defaultColWidth="8.81640625" defaultRowHeight="13" x14ac:dyDescent="0.3"/>
  <cols>
    <col min="1" max="1" width="47.26953125" style="12" customWidth="1"/>
    <col min="2" max="2" width="16.453125" style="12" customWidth="1"/>
    <col min="3" max="3" width="16.54296875" style="120" customWidth="1"/>
    <col min="4" max="15" width="11.54296875" style="160" customWidth="1"/>
    <col min="16" max="16" width="15.453125" style="12" customWidth="1"/>
    <col min="17" max="16384" width="8.81640625" style="12"/>
  </cols>
  <sheetData>
    <row r="1" spans="1:15" s="47" customFormat="1" ht="30.75" customHeight="1" x14ac:dyDescent="0.35">
      <c r="A1" s="150" t="str">
        <f>'Intro, Audits'!A1</f>
        <v>worked example - Business Model plus funding and accounting 10 years - Base Case</v>
      </c>
      <c r="B1" s="157"/>
      <c r="C1" s="157"/>
      <c r="D1" s="157"/>
      <c r="E1" s="157"/>
    </row>
    <row r="2" spans="1:15" s="126" customFormat="1" ht="33.5" customHeight="1" x14ac:dyDescent="0.35">
      <c r="A2" s="18" t="s">
        <v>35</v>
      </c>
      <c r="C2" s="183"/>
      <c r="D2" s="183"/>
      <c r="E2" s="183"/>
      <c r="F2" s="183"/>
      <c r="G2" s="183"/>
      <c r="H2" s="183"/>
      <c r="I2" s="183"/>
      <c r="J2" s="183"/>
      <c r="K2" s="183"/>
      <c r="L2" s="183"/>
      <c r="M2" s="183"/>
      <c r="N2" s="183"/>
      <c r="O2" s="183"/>
    </row>
    <row r="3" spans="1:15" s="206" customFormat="1" x14ac:dyDescent="0.35">
      <c r="A3" s="203"/>
      <c r="B3" s="48"/>
      <c r="C3" s="204"/>
      <c r="D3" s="205"/>
      <c r="E3" s="205"/>
      <c r="F3" s="205"/>
      <c r="G3" s="205"/>
      <c r="H3" s="205"/>
      <c r="I3" s="205"/>
      <c r="J3" s="205"/>
      <c r="K3" s="205"/>
      <c r="L3" s="205"/>
      <c r="M3" s="205"/>
      <c r="N3" s="205"/>
      <c r="O3" s="205"/>
    </row>
    <row r="4" spans="1:15" ht="17.25" customHeight="1" x14ac:dyDescent="0.3">
      <c r="A4" s="13"/>
      <c r="C4" s="159"/>
    </row>
    <row r="5" spans="1:15" ht="17.25" customHeight="1" x14ac:dyDescent="0.3">
      <c r="A5" s="13"/>
      <c r="C5" s="159"/>
    </row>
    <row r="6" spans="1:15" ht="17.25" customHeight="1" x14ac:dyDescent="0.3">
      <c r="A6" s="13"/>
      <c r="C6" s="159"/>
    </row>
    <row r="7" spans="1:15" ht="17.25" customHeight="1" x14ac:dyDescent="0.3">
      <c r="A7" s="13"/>
      <c r="C7" s="159"/>
      <c r="H7" s="161"/>
    </row>
    <row r="8" spans="1:15" ht="17.25" customHeight="1" x14ac:dyDescent="0.3">
      <c r="A8" s="13"/>
      <c r="C8" s="159"/>
    </row>
    <row r="9" spans="1:15" ht="17.25" customHeight="1" x14ac:dyDescent="0.3">
      <c r="A9" s="13"/>
      <c r="C9" s="159"/>
    </row>
    <row r="10" spans="1:15" ht="17.25" customHeight="1" x14ac:dyDescent="0.3">
      <c r="A10" s="13"/>
      <c r="C10" s="159"/>
    </row>
    <row r="11" spans="1:15" ht="17.25" customHeight="1" x14ac:dyDescent="0.3">
      <c r="A11" s="13"/>
      <c r="C11" s="159"/>
    </row>
    <row r="12" spans="1:15" ht="17.25" customHeight="1" x14ac:dyDescent="0.3">
      <c r="A12" s="13"/>
      <c r="C12" s="159"/>
    </row>
    <row r="13" spans="1:15" ht="17.25" customHeight="1" x14ac:dyDescent="0.3">
      <c r="A13" s="13"/>
      <c r="C13" s="159"/>
    </row>
    <row r="14" spans="1:15" s="232" customFormat="1" ht="28.5" customHeight="1" x14ac:dyDescent="0.35">
      <c r="A14" s="229" t="str">
        <f>'Sales &amp; Revenue'!A$25</f>
        <v>Years --&gt;</v>
      </c>
      <c r="B14" s="229" t="str">
        <f>'Sales &amp; Revenue'!B$25</f>
        <v>units</v>
      </c>
      <c r="C14" s="230" t="str">
        <f>'Sales &amp; Revenue'!C$25</f>
        <v>Total</v>
      </c>
      <c r="D14" s="231">
        <f>'Sales &amp; Revenue'!D$25</f>
        <v>2026</v>
      </c>
      <c r="E14" s="231">
        <f>'Sales &amp; Revenue'!E$25</f>
        <v>2027</v>
      </c>
      <c r="F14" s="231">
        <f>'Sales &amp; Revenue'!F$25</f>
        <v>2028</v>
      </c>
      <c r="G14" s="231">
        <f>'Sales &amp; Revenue'!G$25</f>
        <v>2029</v>
      </c>
      <c r="H14" s="231">
        <f>'Sales &amp; Revenue'!H$25</f>
        <v>2030</v>
      </c>
      <c r="I14" s="231">
        <f>'Sales &amp; Revenue'!I$25</f>
        <v>2031</v>
      </c>
      <c r="J14" s="231">
        <f>'Sales &amp; Revenue'!J$25</f>
        <v>2032</v>
      </c>
      <c r="K14" s="231">
        <f>'Sales &amp; Revenue'!K$25</f>
        <v>2033</v>
      </c>
      <c r="L14" s="231">
        <f>'Sales &amp; Revenue'!L$25</f>
        <v>2034</v>
      </c>
      <c r="M14" s="231">
        <f>'Sales &amp; Revenue'!M$25</f>
        <v>2035</v>
      </c>
      <c r="N14" s="231">
        <f>'Sales &amp; Revenue'!N$25</f>
        <v>2036</v>
      </c>
      <c r="O14" s="231">
        <f>'Sales &amp; Revenue'!O$25</f>
        <v>2037</v>
      </c>
    </row>
    <row r="15" spans="1:15" s="33" customFormat="1" ht="45" customHeight="1" x14ac:dyDescent="0.35">
      <c r="A15" s="18" t="s">
        <v>32</v>
      </c>
      <c r="B15" s="126"/>
      <c r="C15" s="237"/>
      <c r="D15" s="238"/>
      <c r="E15" s="238"/>
      <c r="F15" s="238"/>
      <c r="G15" s="238"/>
      <c r="H15" s="238"/>
      <c r="I15" s="238"/>
      <c r="J15" s="238"/>
      <c r="K15" s="238"/>
      <c r="L15" s="238"/>
      <c r="M15" s="238"/>
      <c r="N15" s="238"/>
      <c r="O15" s="238"/>
    </row>
    <row r="16" spans="1:15" x14ac:dyDescent="0.3">
      <c r="A16" s="233" t="s">
        <v>100</v>
      </c>
      <c r="D16" s="120"/>
      <c r="E16" s="120"/>
      <c r="F16" s="120"/>
      <c r="G16" s="120"/>
      <c r="H16" s="120"/>
      <c r="I16" s="120"/>
      <c r="J16" s="120"/>
      <c r="K16" s="120"/>
      <c r="L16" s="120"/>
      <c r="M16" s="120"/>
      <c r="N16" s="120"/>
      <c r="O16" s="120"/>
    </row>
    <row r="17" spans="1:16" s="13" customFormat="1" x14ac:dyDescent="0.3">
      <c r="A17" s="234" t="str">
        <f>'Sales &amp; Revenue'!A$37</f>
        <v>Total ABC units sold</v>
      </c>
      <c r="B17" s="235" t="str">
        <f>'Sales &amp; Revenue'!B$37</f>
        <v>units</v>
      </c>
      <c r="C17" s="236">
        <f>'Sales &amp; Revenue'!C$37</f>
        <v>735565.2536666526</v>
      </c>
      <c r="D17" s="236">
        <f>'Sales &amp; Revenue'!D$37</f>
        <v>40000</v>
      </c>
      <c r="E17" s="236">
        <f>'Sales &amp; Revenue'!E$37</f>
        <v>42250</v>
      </c>
      <c r="F17" s="236">
        <f>'Sales &amp; Revenue'!F$37</f>
        <v>46475</v>
      </c>
      <c r="G17" s="236">
        <f>'Sales &amp; Revenue'!G$37</f>
        <v>55165</v>
      </c>
      <c r="H17" s="236">
        <f>'Sales &amp; Revenue'!H$37</f>
        <v>68304.500000000015</v>
      </c>
      <c r="I17" s="236">
        <f>'Sales &amp; Revenue'!I$37</f>
        <v>84836.950000000012</v>
      </c>
      <c r="J17" s="236">
        <f>'Sales &amp; Revenue'!J$37</f>
        <v>95260.357500000013</v>
      </c>
      <c r="K17" s="236">
        <f>'Sales &amp; Revenue'!K$37</f>
        <v>98118.168225000016</v>
      </c>
      <c r="L17" s="236">
        <f>'Sales &amp; Revenue'!L$37</f>
        <v>101061.71327175002</v>
      </c>
      <c r="M17" s="236">
        <f>'Sales &amp; Revenue'!M$37</f>
        <v>104093.56466990251</v>
      </c>
      <c r="N17" s="236">
        <f>'Sales &amp; Revenue'!N$37</f>
        <v>0</v>
      </c>
      <c r="O17" s="236">
        <f>'Sales &amp; Revenue'!O$37</f>
        <v>0</v>
      </c>
    </row>
    <row r="18" spans="1:16" s="75" customFormat="1" ht="45" customHeight="1" x14ac:dyDescent="0.35">
      <c r="A18" s="31" t="s">
        <v>33</v>
      </c>
      <c r="B18" s="19"/>
      <c r="C18" s="162"/>
      <c r="D18" s="163"/>
      <c r="E18" s="163"/>
      <c r="F18" s="163"/>
      <c r="G18" s="163"/>
      <c r="H18" s="163"/>
      <c r="I18" s="163"/>
      <c r="J18" s="163"/>
      <c r="K18" s="163"/>
      <c r="L18" s="163"/>
      <c r="M18" s="163"/>
      <c r="N18" s="163"/>
      <c r="O18" s="163"/>
    </row>
    <row r="19" spans="1:16" s="70" customFormat="1" x14ac:dyDescent="0.3">
      <c r="A19" s="15" t="s">
        <v>423</v>
      </c>
      <c r="B19" s="12"/>
      <c r="C19" s="165"/>
      <c r="D19" s="165"/>
      <c r="E19" s="165"/>
      <c r="F19" s="165"/>
      <c r="G19" s="165"/>
      <c r="H19" s="165"/>
      <c r="I19" s="165"/>
      <c r="J19" s="165"/>
      <c r="K19" s="165"/>
      <c r="L19" s="165"/>
      <c r="M19" s="165"/>
      <c r="N19" s="165"/>
      <c r="O19" s="165"/>
    </row>
    <row r="20" spans="1:16" x14ac:dyDescent="0.3">
      <c r="A20" s="184" t="s">
        <v>101</v>
      </c>
      <c r="B20" s="185" t="s">
        <v>18</v>
      </c>
      <c r="C20" s="164">
        <f t="shared" ref="C20:C21" si="0">SUM(D20:O20)</f>
        <v>680</v>
      </c>
      <c r="D20" s="187">
        <v>200</v>
      </c>
      <c r="E20" s="187">
        <v>200</v>
      </c>
      <c r="F20" s="187">
        <v>100</v>
      </c>
      <c r="G20" s="187">
        <v>20</v>
      </c>
      <c r="H20" s="187">
        <f t="shared" ref="H20:O20" si="1">G20</f>
        <v>20</v>
      </c>
      <c r="I20" s="187">
        <f t="shared" si="1"/>
        <v>20</v>
      </c>
      <c r="J20" s="187">
        <f t="shared" si="1"/>
        <v>20</v>
      </c>
      <c r="K20" s="187">
        <f t="shared" si="1"/>
        <v>20</v>
      </c>
      <c r="L20" s="187">
        <f t="shared" si="1"/>
        <v>20</v>
      </c>
      <c r="M20" s="187">
        <f t="shared" si="1"/>
        <v>20</v>
      </c>
      <c r="N20" s="187">
        <f t="shared" si="1"/>
        <v>20</v>
      </c>
      <c r="O20" s="187">
        <f t="shared" si="1"/>
        <v>20</v>
      </c>
      <c r="P20" s="75"/>
    </row>
    <row r="21" spans="1:16" x14ac:dyDescent="0.3">
      <c r="A21" s="184" t="s">
        <v>102</v>
      </c>
      <c r="B21" s="185" t="s">
        <v>18</v>
      </c>
      <c r="C21" s="164">
        <f t="shared" si="0"/>
        <v>70</v>
      </c>
      <c r="D21" s="187">
        <v>15</v>
      </c>
      <c r="E21" s="187">
        <v>5</v>
      </c>
      <c r="F21" s="187">
        <f t="shared" ref="F21:O21" si="2">E21</f>
        <v>5</v>
      </c>
      <c r="G21" s="187">
        <f t="shared" si="2"/>
        <v>5</v>
      </c>
      <c r="H21" s="187">
        <f t="shared" si="2"/>
        <v>5</v>
      </c>
      <c r="I21" s="187">
        <f t="shared" si="2"/>
        <v>5</v>
      </c>
      <c r="J21" s="187">
        <f t="shared" si="2"/>
        <v>5</v>
      </c>
      <c r="K21" s="187">
        <f t="shared" si="2"/>
        <v>5</v>
      </c>
      <c r="L21" s="187">
        <f t="shared" si="2"/>
        <v>5</v>
      </c>
      <c r="M21" s="187">
        <f t="shared" si="2"/>
        <v>5</v>
      </c>
      <c r="N21" s="187">
        <f t="shared" si="2"/>
        <v>5</v>
      </c>
      <c r="O21" s="187">
        <f t="shared" si="2"/>
        <v>5</v>
      </c>
    </row>
    <row r="22" spans="1:16" x14ac:dyDescent="0.3">
      <c r="A22" s="185" t="s">
        <v>103</v>
      </c>
      <c r="B22" s="185" t="s">
        <v>18</v>
      </c>
      <c r="C22" s="164">
        <f t="shared" ref="C22" si="3">SUM(D22:O22)</f>
        <v>180</v>
      </c>
      <c r="D22" s="187">
        <v>50</v>
      </c>
      <c r="E22" s="187">
        <v>20</v>
      </c>
      <c r="F22" s="187">
        <f t="shared" ref="F22:O22" si="4">E22</f>
        <v>20</v>
      </c>
      <c r="G22" s="187">
        <v>10</v>
      </c>
      <c r="H22" s="187">
        <f t="shared" si="4"/>
        <v>10</v>
      </c>
      <c r="I22" s="187">
        <f t="shared" si="4"/>
        <v>10</v>
      </c>
      <c r="J22" s="187">
        <f t="shared" si="4"/>
        <v>10</v>
      </c>
      <c r="K22" s="187">
        <f t="shared" si="4"/>
        <v>10</v>
      </c>
      <c r="L22" s="187">
        <f t="shared" si="4"/>
        <v>10</v>
      </c>
      <c r="M22" s="187">
        <f t="shared" si="4"/>
        <v>10</v>
      </c>
      <c r="N22" s="187">
        <f t="shared" si="4"/>
        <v>10</v>
      </c>
      <c r="O22" s="187">
        <f t="shared" si="4"/>
        <v>10</v>
      </c>
    </row>
    <row r="23" spans="1:16" x14ac:dyDescent="0.3">
      <c r="A23" s="185" t="s">
        <v>104</v>
      </c>
      <c r="B23" s="185" t="s">
        <v>18</v>
      </c>
      <c r="C23" s="164">
        <f t="shared" ref="C23:C24" si="5">SUM(D23:O23)</f>
        <v>330</v>
      </c>
      <c r="D23" s="187">
        <v>50</v>
      </c>
      <c r="E23" s="187">
        <f>D23</f>
        <v>50</v>
      </c>
      <c r="F23" s="187">
        <f t="shared" ref="F23:O23" si="6">E23</f>
        <v>50</v>
      </c>
      <c r="G23" s="187">
        <v>20</v>
      </c>
      <c r="H23" s="187">
        <f t="shared" si="6"/>
        <v>20</v>
      </c>
      <c r="I23" s="187">
        <f t="shared" si="6"/>
        <v>20</v>
      </c>
      <c r="J23" s="187">
        <f t="shared" si="6"/>
        <v>20</v>
      </c>
      <c r="K23" s="187">
        <f t="shared" si="6"/>
        <v>20</v>
      </c>
      <c r="L23" s="187">
        <f t="shared" si="6"/>
        <v>20</v>
      </c>
      <c r="M23" s="187">
        <f t="shared" si="6"/>
        <v>20</v>
      </c>
      <c r="N23" s="187">
        <f t="shared" si="6"/>
        <v>20</v>
      </c>
      <c r="O23" s="187">
        <f t="shared" si="6"/>
        <v>20</v>
      </c>
    </row>
    <row r="24" spans="1:16" s="19" customFormat="1" ht="27" customHeight="1" x14ac:dyDescent="0.35">
      <c r="A24" s="148" t="s">
        <v>338</v>
      </c>
      <c r="B24" s="19" t="s">
        <v>18</v>
      </c>
      <c r="C24" s="30">
        <f t="shared" si="5"/>
        <v>1150</v>
      </c>
      <c r="D24" s="198">
        <f>IF(D17&gt;0,SUM(D20:D23),0)</f>
        <v>315</v>
      </c>
      <c r="E24" s="198">
        <f t="shared" ref="E24:O24" si="7">IF(E17&gt;0,SUM(E20:E23),0)</f>
        <v>275</v>
      </c>
      <c r="F24" s="198">
        <f t="shared" si="7"/>
        <v>175</v>
      </c>
      <c r="G24" s="198">
        <f t="shared" si="7"/>
        <v>55</v>
      </c>
      <c r="H24" s="198">
        <f t="shared" si="7"/>
        <v>55</v>
      </c>
      <c r="I24" s="198">
        <f t="shared" si="7"/>
        <v>55</v>
      </c>
      <c r="J24" s="198">
        <f t="shared" si="7"/>
        <v>55</v>
      </c>
      <c r="K24" s="198">
        <f t="shared" si="7"/>
        <v>55</v>
      </c>
      <c r="L24" s="198">
        <f t="shared" si="7"/>
        <v>55</v>
      </c>
      <c r="M24" s="198">
        <f t="shared" si="7"/>
        <v>55</v>
      </c>
      <c r="N24" s="198">
        <f t="shared" si="7"/>
        <v>0</v>
      </c>
      <c r="O24" s="198">
        <f t="shared" si="7"/>
        <v>0</v>
      </c>
    </row>
    <row r="25" spans="1:16" x14ac:dyDescent="0.3">
      <c r="A25" s="74"/>
      <c r="B25" s="70"/>
      <c r="C25" s="164"/>
      <c r="D25" s="165"/>
      <c r="E25" s="165"/>
      <c r="F25" s="165"/>
      <c r="G25" s="165"/>
      <c r="H25" s="165"/>
      <c r="I25" s="165"/>
      <c r="J25" s="165"/>
      <c r="K25" s="165"/>
      <c r="L25" s="165"/>
      <c r="M25" s="165"/>
      <c r="N25" s="165"/>
      <c r="O25" s="165"/>
    </row>
    <row r="26" spans="1:16" s="43" customFormat="1" ht="30.5" customHeight="1" x14ac:dyDescent="0.35">
      <c r="A26" s="111" t="s">
        <v>337</v>
      </c>
      <c r="B26" s="42"/>
      <c r="C26" s="145"/>
      <c r="D26" s="146"/>
      <c r="E26" s="146"/>
      <c r="F26" s="146"/>
      <c r="G26" s="146"/>
      <c r="H26" s="146"/>
      <c r="I26" s="146"/>
      <c r="J26" s="146"/>
      <c r="K26" s="146"/>
      <c r="L26" s="146"/>
      <c r="M26" s="146"/>
      <c r="N26" s="146"/>
      <c r="O26" s="146"/>
    </row>
    <row r="27" spans="1:16" s="240" customFormat="1" x14ac:dyDescent="0.3">
      <c r="A27" s="15" t="s">
        <v>341</v>
      </c>
      <c r="B27" s="15"/>
      <c r="C27" s="239"/>
      <c r="D27" s="239"/>
      <c r="E27" s="239"/>
      <c r="F27" s="239"/>
      <c r="G27" s="239"/>
      <c r="H27" s="239"/>
      <c r="I27" s="239"/>
      <c r="J27" s="239"/>
      <c r="K27" s="239"/>
      <c r="L27" s="239"/>
      <c r="M27" s="239"/>
      <c r="N27" s="239"/>
      <c r="O27" s="239"/>
    </row>
    <row r="28" spans="1:16" s="240" customFormat="1" x14ac:dyDescent="0.3">
      <c r="A28" s="15" t="s">
        <v>106</v>
      </c>
      <c r="B28" s="15"/>
      <c r="C28" s="239"/>
      <c r="D28" s="239"/>
      <c r="E28" s="239"/>
      <c r="F28" s="239"/>
      <c r="G28" s="239"/>
      <c r="H28" s="239"/>
      <c r="I28" s="239"/>
      <c r="J28" s="239"/>
      <c r="K28" s="239"/>
      <c r="L28" s="239"/>
      <c r="M28" s="239"/>
      <c r="N28" s="239"/>
      <c r="O28" s="239"/>
    </row>
    <row r="29" spans="1:16" s="240" customFormat="1" x14ac:dyDescent="0.3">
      <c r="A29" s="15" t="s">
        <v>255</v>
      </c>
      <c r="B29" s="15"/>
      <c r="C29" s="239"/>
      <c r="D29" s="239"/>
      <c r="E29" s="239"/>
      <c r="F29" s="239"/>
      <c r="G29" s="239"/>
      <c r="H29" s="239"/>
      <c r="I29" s="239"/>
      <c r="J29" s="239"/>
      <c r="K29" s="239"/>
      <c r="L29" s="239"/>
      <c r="M29" s="239"/>
      <c r="N29" s="239"/>
      <c r="O29" s="239"/>
    </row>
    <row r="30" spans="1:16" s="240" customFormat="1" x14ac:dyDescent="0.3">
      <c r="A30" s="15" t="s">
        <v>256</v>
      </c>
      <c r="B30" s="15"/>
      <c r="C30" s="239"/>
      <c r="D30" s="239"/>
      <c r="E30" s="239"/>
      <c r="F30" s="239"/>
      <c r="G30" s="239"/>
      <c r="H30" s="239"/>
      <c r="I30" s="239"/>
      <c r="J30" s="239"/>
      <c r="K30" s="239"/>
      <c r="L30" s="239"/>
      <c r="M30" s="239"/>
      <c r="N30" s="239"/>
      <c r="O30" s="239"/>
    </row>
    <row r="31" spans="1:16" s="240" customFormat="1" x14ac:dyDescent="0.3">
      <c r="A31" s="15" t="s">
        <v>107</v>
      </c>
      <c r="B31" s="15"/>
      <c r="C31" s="239"/>
      <c r="D31" s="239"/>
      <c r="E31" s="239"/>
      <c r="F31" s="239"/>
      <c r="G31" s="239"/>
      <c r="H31" s="239"/>
      <c r="I31" s="239"/>
      <c r="J31" s="239"/>
      <c r="K31" s="239"/>
      <c r="L31" s="239"/>
      <c r="M31" s="239"/>
      <c r="N31" s="239"/>
      <c r="O31" s="239"/>
    </row>
    <row r="32" spans="1:16" s="240" customFormat="1" x14ac:dyDescent="0.3">
      <c r="A32" s="15" t="s">
        <v>351</v>
      </c>
      <c r="B32" s="15"/>
      <c r="C32" s="239"/>
      <c r="D32" s="239"/>
      <c r="E32" s="239"/>
      <c r="F32" s="239"/>
      <c r="G32" s="239"/>
      <c r="H32" s="239"/>
      <c r="I32" s="239"/>
      <c r="J32" s="239"/>
      <c r="K32" s="239"/>
      <c r="L32" s="239"/>
      <c r="M32" s="239"/>
      <c r="N32" s="239"/>
      <c r="O32" s="239"/>
    </row>
    <row r="33" spans="1:15" s="63" customFormat="1" x14ac:dyDescent="0.3">
      <c r="A33" s="241" t="s">
        <v>253</v>
      </c>
      <c r="B33" s="241" t="s">
        <v>254</v>
      </c>
      <c r="C33" s="207"/>
      <c r="D33" s="242">
        <f>25%*80%+15%*20%</f>
        <v>0.23</v>
      </c>
      <c r="E33" s="242">
        <f>D33</f>
        <v>0.23</v>
      </c>
      <c r="F33" s="242">
        <f t="shared" ref="F33:O33" si="8">E33</f>
        <v>0.23</v>
      </c>
      <c r="G33" s="242">
        <f t="shared" si="8"/>
        <v>0.23</v>
      </c>
      <c r="H33" s="242">
        <f t="shared" si="8"/>
        <v>0.23</v>
      </c>
      <c r="I33" s="242">
        <f t="shared" si="8"/>
        <v>0.23</v>
      </c>
      <c r="J33" s="242">
        <f t="shared" si="8"/>
        <v>0.23</v>
      </c>
      <c r="K33" s="242">
        <f t="shared" si="8"/>
        <v>0.23</v>
      </c>
      <c r="L33" s="242">
        <f t="shared" si="8"/>
        <v>0.23</v>
      </c>
      <c r="M33" s="242">
        <f t="shared" si="8"/>
        <v>0.23</v>
      </c>
      <c r="N33" s="242">
        <f t="shared" si="8"/>
        <v>0.23</v>
      </c>
      <c r="O33" s="242">
        <f t="shared" si="8"/>
        <v>0.23</v>
      </c>
    </row>
    <row r="34" spans="1:15" s="65" customFormat="1" ht="20.25" customHeight="1" x14ac:dyDescent="0.35">
      <c r="A34" s="201" t="s">
        <v>276</v>
      </c>
      <c r="C34" s="208"/>
      <c r="D34" s="207"/>
      <c r="E34" s="207"/>
      <c r="F34" s="207"/>
      <c r="G34" s="207"/>
      <c r="H34" s="207"/>
      <c r="I34" s="207"/>
      <c r="J34" s="207"/>
      <c r="K34" s="207"/>
      <c r="L34" s="207"/>
      <c r="M34" s="207"/>
      <c r="N34" s="207"/>
      <c r="O34" s="207"/>
    </row>
    <row r="35" spans="1:15" s="70" customFormat="1" x14ac:dyDescent="0.3">
      <c r="A35" s="15" t="s">
        <v>342</v>
      </c>
      <c r="B35" s="12"/>
      <c r="C35" s="165"/>
      <c r="D35" s="165"/>
      <c r="E35" s="165"/>
      <c r="F35" s="165"/>
      <c r="G35" s="165"/>
      <c r="H35" s="165"/>
      <c r="I35" s="165"/>
      <c r="J35" s="165"/>
      <c r="K35" s="165"/>
      <c r="L35" s="165"/>
      <c r="M35" s="165"/>
      <c r="N35" s="165"/>
      <c r="O35" s="165"/>
    </row>
    <row r="36" spans="1:15" x14ac:dyDescent="0.3">
      <c r="A36" s="15" t="s">
        <v>343</v>
      </c>
      <c r="B36" s="74"/>
      <c r="C36" s="164"/>
      <c r="D36" s="164"/>
      <c r="E36" s="164"/>
      <c r="F36" s="165"/>
      <c r="G36" s="165"/>
      <c r="H36" s="165"/>
      <c r="I36" s="165"/>
      <c r="J36" s="165"/>
      <c r="K36" s="165"/>
      <c r="L36" s="165"/>
      <c r="M36" s="165"/>
      <c r="N36" s="165"/>
      <c r="O36" s="165"/>
    </row>
    <row r="37" spans="1:15" s="63" customFormat="1" ht="13.5" thickBot="1" x14ac:dyDescent="0.35">
      <c r="A37" s="241" t="s">
        <v>274</v>
      </c>
      <c r="B37" s="241"/>
      <c r="C37" s="207"/>
      <c r="D37" s="243">
        <v>0.08</v>
      </c>
      <c r="E37" s="243">
        <f>D37</f>
        <v>0.08</v>
      </c>
      <c r="F37" s="243">
        <f t="shared" ref="F37:O37" si="9">E37</f>
        <v>0.08</v>
      </c>
      <c r="G37" s="243">
        <f t="shared" si="9"/>
        <v>0.08</v>
      </c>
      <c r="H37" s="243">
        <f t="shared" si="9"/>
        <v>0.08</v>
      </c>
      <c r="I37" s="243">
        <f t="shared" si="9"/>
        <v>0.08</v>
      </c>
      <c r="J37" s="243">
        <f t="shared" si="9"/>
        <v>0.08</v>
      </c>
      <c r="K37" s="243">
        <f t="shared" si="9"/>
        <v>0.08</v>
      </c>
      <c r="L37" s="243">
        <f t="shared" si="9"/>
        <v>0.08</v>
      </c>
      <c r="M37" s="243">
        <f t="shared" si="9"/>
        <v>0.08</v>
      </c>
      <c r="N37" s="243">
        <f t="shared" si="9"/>
        <v>0.08</v>
      </c>
      <c r="O37" s="243">
        <f t="shared" si="9"/>
        <v>0.08</v>
      </c>
    </row>
    <row r="38" spans="1:15" s="63" customFormat="1" ht="13.5" thickBot="1" x14ac:dyDescent="0.35">
      <c r="A38" s="63" t="s">
        <v>275</v>
      </c>
      <c r="C38" s="209"/>
      <c r="D38" s="210">
        <f>(1+D37)^0.5</f>
        <v>1.0392304845413265</v>
      </c>
      <c r="E38" s="211">
        <f>D38*(1+E37)</f>
        <v>1.1223689233046328</v>
      </c>
      <c r="F38" s="211">
        <f t="shared" ref="F38:O38" si="10">E38*(1+F37)</f>
        <v>1.2121584371690035</v>
      </c>
      <c r="G38" s="211">
        <f t="shared" si="10"/>
        <v>1.309131112142524</v>
      </c>
      <c r="H38" s="211">
        <f t="shared" si="10"/>
        <v>1.413861601113926</v>
      </c>
      <c r="I38" s="211">
        <f t="shared" si="10"/>
        <v>1.5269705292030402</v>
      </c>
      <c r="J38" s="211">
        <f t="shared" si="10"/>
        <v>1.6491281715392836</v>
      </c>
      <c r="K38" s="211">
        <f t="shared" si="10"/>
        <v>1.7810584252624264</v>
      </c>
      <c r="L38" s="211">
        <f t="shared" si="10"/>
        <v>1.9235430992834206</v>
      </c>
      <c r="M38" s="211">
        <f t="shared" si="10"/>
        <v>2.0774265472260942</v>
      </c>
      <c r="N38" s="211">
        <f t="shared" si="10"/>
        <v>2.2436206710041819</v>
      </c>
      <c r="O38" s="211">
        <f t="shared" si="10"/>
        <v>2.4231103246845165</v>
      </c>
    </row>
    <row r="39" spans="1:15" ht="25.5" customHeight="1" thickBot="1" x14ac:dyDescent="0.35">
      <c r="A39" s="74"/>
      <c r="B39" s="74"/>
      <c r="C39" s="164"/>
      <c r="D39" s="164"/>
      <c r="E39" s="164"/>
      <c r="F39" s="165"/>
      <c r="G39" s="165"/>
      <c r="H39" s="165"/>
      <c r="I39" s="165"/>
      <c r="J39" s="165"/>
      <c r="K39" s="165"/>
      <c r="L39" s="165"/>
      <c r="M39" s="165"/>
      <c r="N39" s="165"/>
      <c r="O39" s="165"/>
    </row>
    <row r="40" spans="1:15" s="63" customFormat="1" ht="13.5" thickBot="1" x14ac:dyDescent="0.35">
      <c r="A40" s="68" t="s">
        <v>251</v>
      </c>
      <c r="B40" s="96" t="s">
        <v>273</v>
      </c>
      <c r="C40" s="208"/>
      <c r="D40" s="212">
        <v>0</v>
      </c>
      <c r="E40" s="207">
        <f>D44</f>
        <v>252.06535402549872</v>
      </c>
      <c r="F40" s="207">
        <f t="shared" ref="F40:O40" si="11">E44</f>
        <v>431.75194210939003</v>
      </c>
      <c r="G40" s="207">
        <f t="shared" si="11"/>
        <v>495.78734483275349</v>
      </c>
      <c r="H40" s="207">
        <f t="shared" si="11"/>
        <v>437.19795812045606</v>
      </c>
      <c r="I40" s="207">
        <f t="shared" si="11"/>
        <v>396.51946655992595</v>
      </c>
      <c r="J40" s="207">
        <f t="shared" si="11"/>
        <v>369.98719116289169</v>
      </c>
      <c r="K40" s="207">
        <f t="shared" si="11"/>
        <v>354.73071526011523</v>
      </c>
      <c r="L40" s="207">
        <f t="shared" si="11"/>
        <v>348.57047506015249</v>
      </c>
      <c r="M40" s="207">
        <f t="shared" si="11"/>
        <v>349.86131605097029</v>
      </c>
      <c r="N40" s="207">
        <f t="shared" si="11"/>
        <v>0</v>
      </c>
      <c r="O40" s="207">
        <f t="shared" si="11"/>
        <v>0</v>
      </c>
    </row>
    <row r="41" spans="1:15" s="63" customFormat="1" x14ac:dyDescent="0.3">
      <c r="A41" s="68" t="s">
        <v>250</v>
      </c>
      <c r="B41" s="96" t="s">
        <v>273</v>
      </c>
      <c r="C41" s="208">
        <f>SUM(D41:O41)</f>
        <v>1490.5983547612566</v>
      </c>
      <c r="D41" s="207">
        <f t="shared" ref="D41:O41" si="12">D24*D38</f>
        <v>327.35760263051782</v>
      </c>
      <c r="E41" s="207">
        <f t="shared" si="12"/>
        <v>308.65145390877399</v>
      </c>
      <c r="F41" s="207">
        <f t="shared" si="12"/>
        <v>212.12772650457561</v>
      </c>
      <c r="G41" s="207">
        <f t="shared" si="12"/>
        <v>72.002211167838823</v>
      </c>
      <c r="H41" s="207">
        <f t="shared" si="12"/>
        <v>77.762388061265924</v>
      </c>
      <c r="I41" s="207">
        <f t="shared" si="12"/>
        <v>83.983379106167206</v>
      </c>
      <c r="J41" s="207">
        <f t="shared" si="12"/>
        <v>90.702049434660594</v>
      </c>
      <c r="K41" s="207">
        <f t="shared" si="12"/>
        <v>97.958213389433453</v>
      </c>
      <c r="L41" s="207">
        <f t="shared" si="12"/>
        <v>105.79487046058813</v>
      </c>
      <c r="M41" s="207">
        <f t="shared" si="12"/>
        <v>114.25846009743518</v>
      </c>
      <c r="N41" s="207">
        <f t="shared" si="12"/>
        <v>0</v>
      </c>
      <c r="O41" s="207">
        <f t="shared" si="12"/>
        <v>0</v>
      </c>
    </row>
    <row r="42" spans="1:15" s="63" customFormat="1" x14ac:dyDescent="0.3">
      <c r="A42" s="68" t="s">
        <v>252</v>
      </c>
      <c r="B42" s="96" t="s">
        <v>273</v>
      </c>
      <c r="C42" s="208"/>
      <c r="D42" s="213">
        <f>SUM(D40:D41)</f>
        <v>327.35760263051782</v>
      </c>
      <c r="E42" s="213">
        <f t="shared" ref="E42:O42" si="13">SUM(E40:E41)</f>
        <v>560.71680793427277</v>
      </c>
      <c r="F42" s="213">
        <f t="shared" si="13"/>
        <v>643.87966861396558</v>
      </c>
      <c r="G42" s="213">
        <f t="shared" si="13"/>
        <v>567.78955600059226</v>
      </c>
      <c r="H42" s="213">
        <f t="shared" si="13"/>
        <v>514.960346181722</v>
      </c>
      <c r="I42" s="213">
        <f t="shared" si="13"/>
        <v>480.50284566609315</v>
      </c>
      <c r="J42" s="213">
        <f t="shared" si="13"/>
        <v>460.68924059755227</v>
      </c>
      <c r="K42" s="213">
        <f t="shared" si="13"/>
        <v>452.6889286495487</v>
      </c>
      <c r="L42" s="213">
        <f t="shared" si="13"/>
        <v>454.36534552074062</v>
      </c>
      <c r="M42" s="213">
        <f t="shared" si="13"/>
        <v>464.11977614840544</v>
      </c>
      <c r="N42" s="213">
        <f t="shared" si="13"/>
        <v>0</v>
      </c>
      <c r="O42" s="213">
        <f t="shared" si="13"/>
        <v>0</v>
      </c>
    </row>
    <row r="43" spans="1:15" s="63" customFormat="1" x14ac:dyDescent="0.3">
      <c r="A43" s="214" t="s">
        <v>105</v>
      </c>
      <c r="B43" s="96" t="s">
        <v>273</v>
      </c>
      <c r="C43" s="208">
        <f>SUM(D43:O43)</f>
        <v>1490.5983547612566</v>
      </c>
      <c r="D43" s="208">
        <f t="shared" ref="D43:O43" si="14">IF(AND(D17&gt;0,E17=0),D42,D42*D33)</f>
        <v>75.292248605019097</v>
      </c>
      <c r="E43" s="208">
        <f t="shared" si="14"/>
        <v>128.96486582488274</v>
      </c>
      <c r="F43" s="208">
        <f t="shared" si="14"/>
        <v>148.09232378121209</v>
      </c>
      <c r="G43" s="208">
        <f t="shared" si="14"/>
        <v>130.59159788013622</v>
      </c>
      <c r="H43" s="208">
        <f t="shared" si="14"/>
        <v>118.44087962179607</v>
      </c>
      <c r="I43" s="208">
        <f t="shared" si="14"/>
        <v>110.51565450320143</v>
      </c>
      <c r="J43" s="208">
        <f t="shared" si="14"/>
        <v>105.95852533743702</v>
      </c>
      <c r="K43" s="208">
        <f t="shared" si="14"/>
        <v>104.11845358939621</v>
      </c>
      <c r="L43" s="208">
        <f t="shared" si="14"/>
        <v>104.50402946977034</v>
      </c>
      <c r="M43" s="208">
        <f t="shared" si="14"/>
        <v>464.11977614840544</v>
      </c>
      <c r="N43" s="208">
        <f t="shared" si="14"/>
        <v>0</v>
      </c>
      <c r="O43" s="208">
        <f t="shared" si="14"/>
        <v>0</v>
      </c>
    </row>
    <row r="44" spans="1:15" s="63" customFormat="1" x14ac:dyDescent="0.3">
      <c r="A44" s="68" t="s">
        <v>257</v>
      </c>
      <c r="B44" s="96" t="s">
        <v>273</v>
      </c>
      <c r="C44" s="208"/>
      <c r="D44" s="207">
        <f>D42-D43</f>
        <v>252.06535402549872</v>
      </c>
      <c r="E44" s="207">
        <f t="shared" ref="E44:O44" si="15">E42-E43</f>
        <v>431.75194210939003</v>
      </c>
      <c r="F44" s="207">
        <f t="shared" si="15"/>
        <v>495.78734483275349</v>
      </c>
      <c r="G44" s="207">
        <f t="shared" si="15"/>
        <v>437.19795812045606</v>
      </c>
      <c r="H44" s="207">
        <f t="shared" si="15"/>
        <v>396.51946655992595</v>
      </c>
      <c r="I44" s="207">
        <f t="shared" si="15"/>
        <v>369.98719116289169</v>
      </c>
      <c r="J44" s="207">
        <f t="shared" si="15"/>
        <v>354.73071526011523</v>
      </c>
      <c r="K44" s="207">
        <f t="shared" si="15"/>
        <v>348.57047506015249</v>
      </c>
      <c r="L44" s="207">
        <f t="shared" si="15"/>
        <v>349.86131605097029</v>
      </c>
      <c r="M44" s="207">
        <f t="shared" si="15"/>
        <v>0</v>
      </c>
      <c r="N44" s="207">
        <f t="shared" si="15"/>
        <v>0</v>
      </c>
      <c r="O44" s="207">
        <f t="shared" si="15"/>
        <v>0</v>
      </c>
    </row>
    <row r="45" spans="1:15" s="13" customFormat="1" x14ac:dyDescent="0.3">
      <c r="A45" s="215" t="s">
        <v>105</v>
      </c>
      <c r="B45" s="74" t="s">
        <v>18</v>
      </c>
      <c r="C45" s="164">
        <f>SUM(D45:O45)</f>
        <v>965.87778281292219</v>
      </c>
      <c r="D45" s="216">
        <f t="shared" ref="D45:O45" si="16">D43/D38</f>
        <v>72.449999999999989</v>
      </c>
      <c r="E45" s="216">
        <f t="shared" si="16"/>
        <v>114.90416666666665</v>
      </c>
      <c r="F45" s="216">
        <f t="shared" si="16"/>
        <v>122.17241512345677</v>
      </c>
      <c r="G45" s="216">
        <f t="shared" si="16"/>
        <v>99.754407078760821</v>
      </c>
      <c r="H45" s="216">
        <f t="shared" si="16"/>
        <v>83.771197639486886</v>
      </c>
      <c r="I45" s="216">
        <f t="shared" si="16"/>
        <v>72.375761280004539</v>
      </c>
      <c r="J45" s="216">
        <f t="shared" si="16"/>
        <v>64.251237208892107</v>
      </c>
      <c r="K45" s="216">
        <f t="shared" si="16"/>
        <v>58.458752454487893</v>
      </c>
      <c r="L45" s="216">
        <f t="shared" si="16"/>
        <v>54.328925361070063</v>
      </c>
      <c r="M45" s="216">
        <f t="shared" si="16"/>
        <v>223.41092000009641</v>
      </c>
      <c r="N45" s="216">
        <f t="shared" si="16"/>
        <v>0</v>
      </c>
      <c r="O45" s="216">
        <f t="shared" si="16"/>
        <v>0</v>
      </c>
    </row>
    <row r="46" spans="1:15" x14ac:dyDescent="0.3">
      <c r="A46" s="217" t="s">
        <v>258</v>
      </c>
      <c r="B46" s="74" t="s">
        <v>18</v>
      </c>
      <c r="C46" s="218">
        <f>C45-C24</f>
        <v>-184.12221718707781</v>
      </c>
      <c r="D46" s="164"/>
      <c r="E46" s="164"/>
      <c r="F46" s="165"/>
      <c r="G46" s="165"/>
      <c r="H46" s="165"/>
      <c r="I46" s="165"/>
      <c r="J46" s="165"/>
      <c r="K46" s="165"/>
      <c r="L46" s="165"/>
      <c r="M46" s="165"/>
      <c r="N46" s="165"/>
      <c r="O46" s="165"/>
    </row>
    <row r="47" spans="1:15" s="63" customFormat="1" x14ac:dyDescent="0.3">
      <c r="A47" s="68"/>
      <c r="B47" s="68"/>
      <c r="C47" s="208"/>
      <c r="D47" s="208"/>
      <c r="E47" s="208"/>
      <c r="F47" s="207"/>
      <c r="G47" s="207"/>
      <c r="H47" s="207"/>
      <c r="I47" s="207"/>
      <c r="J47" s="207"/>
      <c r="K47" s="207"/>
      <c r="L47" s="207"/>
      <c r="M47" s="207"/>
      <c r="N47" s="207"/>
      <c r="O47" s="207"/>
    </row>
    <row r="48" spans="1:15" s="232" customFormat="1" ht="28.5" customHeight="1" x14ac:dyDescent="0.35">
      <c r="A48" s="229" t="str">
        <f>'Sales &amp; Revenue'!A$25</f>
        <v>Years --&gt;</v>
      </c>
      <c r="B48" s="229" t="str">
        <f>'Sales &amp; Revenue'!B$25</f>
        <v>units</v>
      </c>
      <c r="C48" s="230" t="str">
        <f>'Sales &amp; Revenue'!C$25</f>
        <v>Total</v>
      </c>
      <c r="D48" s="231">
        <f>'Sales &amp; Revenue'!D$25</f>
        <v>2026</v>
      </c>
      <c r="E48" s="231">
        <f>'Sales &amp; Revenue'!E$25</f>
        <v>2027</v>
      </c>
      <c r="F48" s="231">
        <f>'Sales &amp; Revenue'!F$25</f>
        <v>2028</v>
      </c>
      <c r="G48" s="231">
        <f>'Sales &amp; Revenue'!G$25</f>
        <v>2029</v>
      </c>
      <c r="H48" s="231">
        <f>'Sales &amp; Revenue'!H$25</f>
        <v>2030</v>
      </c>
      <c r="I48" s="231">
        <f>'Sales &amp; Revenue'!I$25</f>
        <v>2031</v>
      </c>
      <c r="J48" s="231">
        <f>'Sales &amp; Revenue'!J$25</f>
        <v>2032</v>
      </c>
      <c r="K48" s="231">
        <f>'Sales &amp; Revenue'!K$25</f>
        <v>2033</v>
      </c>
      <c r="L48" s="231">
        <f>'Sales &amp; Revenue'!L$25</f>
        <v>2034</v>
      </c>
      <c r="M48" s="231">
        <f>'Sales &amp; Revenue'!M$25</f>
        <v>2035</v>
      </c>
      <c r="N48" s="231">
        <f>'Sales &amp; Revenue'!N$25</f>
        <v>2036</v>
      </c>
      <c r="O48" s="231">
        <f>'Sales &amp; Revenue'!O$25</f>
        <v>2037</v>
      </c>
    </row>
    <row r="49" spans="1:15" s="33" customFormat="1" ht="45" customHeight="1" x14ac:dyDescent="0.35">
      <c r="A49" s="18" t="s">
        <v>7</v>
      </c>
      <c r="B49" s="126"/>
      <c r="C49" s="237"/>
      <c r="D49" s="238"/>
      <c r="E49" s="238"/>
      <c r="F49" s="238"/>
      <c r="G49" s="238"/>
      <c r="H49" s="238"/>
      <c r="I49" s="238"/>
      <c r="J49" s="238"/>
      <c r="K49" s="238"/>
      <c r="L49" s="238"/>
      <c r="M49" s="238"/>
      <c r="N49" s="238"/>
      <c r="O49" s="238"/>
    </row>
    <row r="50" spans="1:15" s="75" customFormat="1" ht="45" customHeight="1" x14ac:dyDescent="0.35">
      <c r="A50" s="31" t="s">
        <v>352</v>
      </c>
      <c r="B50" s="19"/>
      <c r="C50" s="162"/>
      <c r="D50" s="163"/>
      <c r="E50" s="163"/>
      <c r="F50" s="163"/>
      <c r="G50" s="163"/>
      <c r="H50" s="163"/>
      <c r="I50" s="163"/>
      <c r="J50" s="163"/>
      <c r="K50" s="163"/>
      <c r="L50" s="163"/>
      <c r="M50" s="163"/>
      <c r="N50" s="163"/>
      <c r="O50" s="163"/>
    </row>
    <row r="51" spans="1:15" ht="28.75" customHeight="1" x14ac:dyDescent="0.3">
      <c r="A51" s="60" t="s">
        <v>174</v>
      </c>
      <c r="C51" s="164"/>
      <c r="D51" s="164"/>
      <c r="E51" s="164"/>
      <c r="F51" s="164"/>
      <c r="G51" s="164"/>
      <c r="H51" s="164"/>
      <c r="I51" s="164"/>
      <c r="J51" s="164"/>
      <c r="K51" s="164"/>
      <c r="L51" s="164"/>
      <c r="M51" s="164"/>
      <c r="N51" s="164"/>
      <c r="O51" s="12"/>
    </row>
    <row r="52" spans="1:15" x14ac:dyDescent="0.3">
      <c r="A52" s="193" t="s">
        <v>16</v>
      </c>
      <c r="D52" s="120"/>
      <c r="E52" s="120"/>
      <c r="F52" s="120"/>
      <c r="G52" s="120"/>
      <c r="H52" s="120"/>
      <c r="I52" s="120"/>
      <c r="J52" s="120"/>
      <c r="K52" s="120"/>
      <c r="L52" s="120"/>
      <c r="M52" s="120"/>
      <c r="N52" s="120"/>
      <c r="O52" s="120"/>
    </row>
    <row r="53" spans="1:15" x14ac:dyDescent="0.3">
      <c r="A53" s="235" t="str">
        <f>'Sales &amp; Revenue'!A$34</f>
        <v>Product A Sold</v>
      </c>
      <c r="B53" s="235" t="str">
        <f>'Sales &amp; Revenue'!B$34</f>
        <v>units</v>
      </c>
      <c r="C53" s="236">
        <f>'Sales &amp; Revenue'!C$34</f>
        <v>400090.76794514002</v>
      </c>
      <c r="D53" s="244">
        <f>'Sales &amp; Revenue'!D$34</f>
        <v>20000</v>
      </c>
      <c r="E53" s="244">
        <f>'Sales &amp; Revenue'!E$34</f>
        <v>21000</v>
      </c>
      <c r="F53" s="244">
        <f>'Sales &amp; Revenue'!F$34</f>
        <v>23100.000000000004</v>
      </c>
      <c r="G53" s="244">
        <f>'Sales &amp; Revenue'!G$34</f>
        <v>27720.000000000004</v>
      </c>
      <c r="H53" s="244">
        <f>'Sales &amp; Revenue'!H$34</f>
        <v>36036.000000000007</v>
      </c>
      <c r="I53" s="244">
        <f>'Sales &amp; Revenue'!I$34</f>
        <v>46846.80000000001</v>
      </c>
      <c r="J53" s="244">
        <f>'Sales &amp; Revenue'!J$34</f>
        <v>53873.820000000007</v>
      </c>
      <c r="K53" s="244">
        <f>'Sales &amp; Revenue'!K$34</f>
        <v>55490.034600000006</v>
      </c>
      <c r="L53" s="244">
        <f>'Sales &amp; Revenue'!L$34</f>
        <v>57154.735638000006</v>
      </c>
      <c r="M53" s="244">
        <f>'Sales &amp; Revenue'!M$34</f>
        <v>58869.377707140004</v>
      </c>
      <c r="N53" s="244">
        <f>'Sales &amp; Revenue'!N$34</f>
        <v>0</v>
      </c>
      <c r="O53" s="244">
        <f>'Sales &amp; Revenue'!O$34</f>
        <v>0</v>
      </c>
    </row>
    <row r="54" spans="1:15" x14ac:dyDescent="0.3">
      <c r="A54" s="235" t="str">
        <f>'Sales &amp; Revenue'!A$35</f>
        <v>Product B sold</v>
      </c>
      <c r="B54" s="235" t="str">
        <f>'Sales &amp; Revenue'!B$35</f>
        <v>units</v>
      </c>
      <c r="C54" s="236">
        <f>'Sales &amp; Revenue'!C$35</f>
        <v>261523.12684272003</v>
      </c>
      <c r="D54" s="244">
        <f>'Sales &amp; Revenue'!D$35</f>
        <v>15000</v>
      </c>
      <c r="E54" s="244">
        <f>'Sales &amp; Revenue'!E$35</f>
        <v>15750</v>
      </c>
      <c r="F54" s="244">
        <f>'Sales &amp; Revenue'!F$35</f>
        <v>17325</v>
      </c>
      <c r="G54" s="244">
        <f>'Sales &amp; Revenue'!G$35</f>
        <v>20790</v>
      </c>
      <c r="H54" s="244">
        <f>'Sales &amp; Revenue'!H$35</f>
        <v>24948</v>
      </c>
      <c r="I54" s="244">
        <f>'Sales &amp; Revenue'!I$35</f>
        <v>29937.599999999999</v>
      </c>
      <c r="J54" s="244">
        <f>'Sales &amp; Revenue'!J$35</f>
        <v>32931.360000000001</v>
      </c>
      <c r="K54" s="244">
        <f>'Sales &amp; Revenue'!K$35</f>
        <v>33919.300800000005</v>
      </c>
      <c r="L54" s="244">
        <f>'Sales &amp; Revenue'!L$35</f>
        <v>34936.879824000003</v>
      </c>
      <c r="M54" s="244">
        <f>'Sales &amp; Revenue'!M$35</f>
        <v>35984.986218720005</v>
      </c>
      <c r="N54" s="244">
        <f>'Sales &amp; Revenue'!N$35</f>
        <v>0</v>
      </c>
      <c r="O54" s="244">
        <f>'Sales &amp; Revenue'!O$35</f>
        <v>0</v>
      </c>
    </row>
    <row r="55" spans="1:15" x14ac:dyDescent="0.3">
      <c r="A55" s="235" t="str">
        <f>'Sales &amp; Revenue'!A$36</f>
        <v>Product C sold</v>
      </c>
      <c r="B55" s="235" t="str">
        <f>'Sales &amp; Revenue'!B$36</f>
        <v>units</v>
      </c>
      <c r="C55" s="236">
        <f>'Sales &amp; Revenue'!C$36</f>
        <v>73951.358878792526</v>
      </c>
      <c r="D55" s="244">
        <f>'Sales &amp; Revenue'!D$36</f>
        <v>5000</v>
      </c>
      <c r="E55" s="244">
        <f>'Sales &amp; Revenue'!E$36</f>
        <v>5500</v>
      </c>
      <c r="F55" s="244">
        <f>'Sales &amp; Revenue'!F$36</f>
        <v>6050.0000000000009</v>
      </c>
      <c r="G55" s="244">
        <f>'Sales &amp; Revenue'!G$36</f>
        <v>6655.0000000000018</v>
      </c>
      <c r="H55" s="244">
        <f>'Sales &amp; Revenue'!H$36</f>
        <v>7320.5000000000027</v>
      </c>
      <c r="I55" s="244">
        <f>'Sales &amp; Revenue'!I$36</f>
        <v>8052.5500000000038</v>
      </c>
      <c r="J55" s="244">
        <f>'Sales &amp; Revenue'!J$36</f>
        <v>8455.1775000000052</v>
      </c>
      <c r="K55" s="244">
        <f>'Sales &amp; Revenue'!K$36</f>
        <v>8708.832825000005</v>
      </c>
      <c r="L55" s="244">
        <f>'Sales &amp; Revenue'!L$36</f>
        <v>8970.0978097500047</v>
      </c>
      <c r="M55" s="244">
        <f>'Sales &amp; Revenue'!M$36</f>
        <v>9239.2007440425059</v>
      </c>
      <c r="N55" s="244">
        <f>'Sales &amp; Revenue'!N$36</f>
        <v>0</v>
      </c>
      <c r="O55" s="244">
        <f>'Sales &amp; Revenue'!O$36</f>
        <v>0</v>
      </c>
    </row>
    <row r="56" spans="1:15" s="13" customFormat="1" x14ac:dyDescent="0.3">
      <c r="A56" s="245" t="str">
        <f>'Sales &amp; Revenue'!A$37</f>
        <v>Total ABC units sold</v>
      </c>
      <c r="B56" s="235" t="str">
        <f>'Sales &amp; Revenue'!B$37</f>
        <v>units</v>
      </c>
      <c r="C56" s="236">
        <f>'Sales &amp; Revenue'!C$37</f>
        <v>735565.2536666526</v>
      </c>
      <c r="D56" s="236">
        <f>'Sales &amp; Revenue'!D$37</f>
        <v>40000</v>
      </c>
      <c r="E56" s="236">
        <f>'Sales &amp; Revenue'!E$37</f>
        <v>42250</v>
      </c>
      <c r="F56" s="236">
        <f>'Sales &amp; Revenue'!F$37</f>
        <v>46475</v>
      </c>
      <c r="G56" s="236">
        <f>'Sales &amp; Revenue'!G$37</f>
        <v>55165</v>
      </c>
      <c r="H56" s="236">
        <f>'Sales &amp; Revenue'!H$37</f>
        <v>68304.500000000015</v>
      </c>
      <c r="I56" s="236">
        <f>'Sales &amp; Revenue'!I$37</f>
        <v>84836.950000000012</v>
      </c>
      <c r="J56" s="236">
        <f>'Sales &amp; Revenue'!J$37</f>
        <v>95260.357500000013</v>
      </c>
      <c r="K56" s="236">
        <f>'Sales &amp; Revenue'!K$37</f>
        <v>98118.168225000016</v>
      </c>
      <c r="L56" s="236">
        <f>'Sales &amp; Revenue'!L$37</f>
        <v>101061.71327175002</v>
      </c>
      <c r="M56" s="236">
        <f>'Sales &amp; Revenue'!M$37</f>
        <v>104093.56466990251</v>
      </c>
      <c r="N56" s="236">
        <f>'Sales &amp; Revenue'!N$37</f>
        <v>0</v>
      </c>
      <c r="O56" s="236">
        <f>'Sales &amp; Revenue'!O$37</f>
        <v>0</v>
      </c>
    </row>
    <row r="57" spans="1:15" s="60" customFormat="1" ht="28.5" customHeight="1" x14ac:dyDescent="0.35">
      <c r="A57" s="60" t="s">
        <v>175</v>
      </c>
    </row>
    <row r="58" spans="1:15" x14ac:dyDescent="0.3">
      <c r="A58" s="15" t="s">
        <v>344</v>
      </c>
      <c r="B58" s="19"/>
    </row>
    <row r="59" spans="1:15" x14ac:dyDescent="0.3">
      <c r="A59" s="15" t="s">
        <v>345</v>
      </c>
      <c r="B59" s="19"/>
    </row>
    <row r="60" spans="1:15" x14ac:dyDescent="0.3">
      <c r="A60" s="185" t="s">
        <v>108</v>
      </c>
      <c r="B60" s="185" t="s">
        <v>14</v>
      </c>
      <c r="C60" s="164"/>
      <c r="D60" s="187">
        <v>30</v>
      </c>
      <c r="E60" s="187">
        <f>D60</f>
        <v>30</v>
      </c>
      <c r="F60" s="187">
        <f>E60</f>
        <v>30</v>
      </c>
      <c r="G60" s="187">
        <f t="shared" ref="G60:J60" si="17">F60</f>
        <v>30</v>
      </c>
      <c r="H60" s="187">
        <f t="shared" si="17"/>
        <v>30</v>
      </c>
      <c r="I60" s="187">
        <f t="shared" si="17"/>
        <v>30</v>
      </c>
      <c r="J60" s="187">
        <f t="shared" si="17"/>
        <v>30</v>
      </c>
      <c r="K60" s="187">
        <f t="shared" ref="K60" si="18">J60</f>
        <v>30</v>
      </c>
      <c r="L60" s="187">
        <f t="shared" ref="L60" si="19">K60</f>
        <v>30</v>
      </c>
      <c r="M60" s="187">
        <f t="shared" ref="M60" si="20">L60</f>
        <v>30</v>
      </c>
      <c r="N60" s="187">
        <f t="shared" ref="N60" si="21">M60</f>
        <v>30</v>
      </c>
      <c r="O60" s="187">
        <f t="shared" ref="O60" si="22">N60</f>
        <v>30</v>
      </c>
    </row>
    <row r="61" spans="1:15" s="70" customFormat="1" ht="13.5" thickBot="1" x14ac:dyDescent="0.35">
      <c r="A61" s="70" t="s">
        <v>259</v>
      </c>
      <c r="B61" s="12" t="s">
        <v>3</v>
      </c>
      <c r="C61" s="164">
        <f t="shared" ref="C61:C73" si="23">SUM(D61:O61)</f>
        <v>28045.593718191783</v>
      </c>
      <c r="D61" s="165">
        <f>IF(E53=0,0,D53/365*D$60)</f>
        <v>1643.8356164383561</v>
      </c>
      <c r="E61" s="165">
        <f t="shared" ref="E61:O61" si="24">IF(F53=0,0,E53/365*E$60)</f>
        <v>1726.027397260274</v>
      </c>
      <c r="F61" s="165">
        <f t="shared" si="24"/>
        <v>1898.6301369863017</v>
      </c>
      <c r="G61" s="165">
        <f t="shared" si="24"/>
        <v>2278.3561643835619</v>
      </c>
      <c r="H61" s="165">
        <f t="shared" si="24"/>
        <v>2961.8630136986308</v>
      </c>
      <c r="I61" s="165">
        <f t="shared" si="24"/>
        <v>3850.4219178082199</v>
      </c>
      <c r="J61" s="165">
        <f t="shared" si="24"/>
        <v>4427.9852054794519</v>
      </c>
      <c r="K61" s="165">
        <f t="shared" si="24"/>
        <v>4560.8247616438366</v>
      </c>
      <c r="L61" s="165">
        <f t="shared" si="24"/>
        <v>4697.6495044931517</v>
      </c>
      <c r="M61" s="165">
        <f t="shared" si="24"/>
        <v>0</v>
      </c>
      <c r="N61" s="165">
        <f t="shared" si="24"/>
        <v>0</v>
      </c>
      <c r="O61" s="165">
        <f t="shared" si="24"/>
        <v>0</v>
      </c>
    </row>
    <row r="62" spans="1:15" s="70" customFormat="1" ht="13.5" thickBot="1" x14ac:dyDescent="0.35">
      <c r="A62" s="70" t="s">
        <v>113</v>
      </c>
      <c r="B62" s="12" t="s">
        <v>3</v>
      </c>
      <c r="C62" s="164"/>
      <c r="D62" s="219">
        <f>D61</f>
        <v>1643.8356164383561</v>
      </c>
      <c r="E62" s="165">
        <f t="shared" ref="E62:O62" si="25">E61-D61</f>
        <v>82.191780821917973</v>
      </c>
      <c r="F62" s="165">
        <f t="shared" si="25"/>
        <v>172.60273972602772</v>
      </c>
      <c r="G62" s="165">
        <f t="shared" si="25"/>
        <v>379.72602739726017</v>
      </c>
      <c r="H62" s="165">
        <f t="shared" si="25"/>
        <v>683.50684931506885</v>
      </c>
      <c r="I62" s="165">
        <f t="shared" si="25"/>
        <v>888.55890410958909</v>
      </c>
      <c r="J62" s="165">
        <f t="shared" si="25"/>
        <v>577.56328767123205</v>
      </c>
      <c r="K62" s="165">
        <f t="shared" si="25"/>
        <v>132.8395561643847</v>
      </c>
      <c r="L62" s="165">
        <f t="shared" si="25"/>
        <v>136.82474284931504</v>
      </c>
      <c r="M62" s="165">
        <f t="shared" si="25"/>
        <v>-4697.6495044931517</v>
      </c>
      <c r="N62" s="165">
        <f t="shared" si="25"/>
        <v>0</v>
      </c>
      <c r="O62" s="165">
        <f t="shared" si="25"/>
        <v>0</v>
      </c>
    </row>
    <row r="63" spans="1:15" s="70" customFormat="1" x14ac:dyDescent="0.3">
      <c r="B63" s="12"/>
      <c r="C63" s="164"/>
      <c r="D63" s="165"/>
      <c r="E63" s="165"/>
      <c r="F63" s="165"/>
      <c r="G63" s="165"/>
      <c r="H63" s="165"/>
      <c r="I63" s="165"/>
      <c r="J63" s="165"/>
      <c r="K63" s="165"/>
      <c r="L63" s="165"/>
      <c r="M63" s="165"/>
      <c r="N63" s="165"/>
      <c r="O63" s="165"/>
    </row>
    <row r="64" spans="1:15" s="70" customFormat="1" ht="13.5" thickBot="1" x14ac:dyDescent="0.35">
      <c r="A64" s="70" t="s">
        <v>260</v>
      </c>
      <c r="B64" s="12" t="s">
        <v>3</v>
      </c>
      <c r="C64" s="164">
        <f t="shared" si="23"/>
        <v>18537.381421150683</v>
      </c>
      <c r="D64" s="165">
        <f>IF(E54=0,0,D54/365*D$60)</f>
        <v>1232.8767123287671</v>
      </c>
      <c r="E64" s="165">
        <f t="shared" ref="E64:O64" si="26">IF(F54=0,0,E54/365*E$60)</f>
        <v>1294.5205479452056</v>
      </c>
      <c r="F64" s="165">
        <f t="shared" si="26"/>
        <v>1423.972602739726</v>
      </c>
      <c r="G64" s="165">
        <f t="shared" si="26"/>
        <v>1708.7671232876712</v>
      </c>
      <c r="H64" s="165">
        <f t="shared" si="26"/>
        <v>2050.5205479452056</v>
      </c>
      <c r="I64" s="165">
        <f t="shared" si="26"/>
        <v>2460.6246575342466</v>
      </c>
      <c r="J64" s="165">
        <f t="shared" si="26"/>
        <v>2706.6871232876711</v>
      </c>
      <c r="K64" s="165">
        <f t="shared" si="26"/>
        <v>2787.8877369863021</v>
      </c>
      <c r="L64" s="165">
        <f t="shared" si="26"/>
        <v>2871.5243690958905</v>
      </c>
      <c r="M64" s="165">
        <f t="shared" si="26"/>
        <v>0</v>
      </c>
      <c r="N64" s="165">
        <f t="shared" si="26"/>
        <v>0</v>
      </c>
      <c r="O64" s="165">
        <f t="shared" si="26"/>
        <v>0</v>
      </c>
    </row>
    <row r="65" spans="1:15" s="70" customFormat="1" ht="13.5" thickBot="1" x14ac:dyDescent="0.35">
      <c r="A65" s="70" t="s">
        <v>114</v>
      </c>
      <c r="B65" s="12" t="s">
        <v>3</v>
      </c>
      <c r="C65" s="164"/>
      <c r="D65" s="219">
        <f>D64</f>
        <v>1232.8767123287671</v>
      </c>
      <c r="E65" s="165">
        <f t="shared" ref="E65" si="27">E64-D64</f>
        <v>61.643835616438537</v>
      </c>
      <c r="F65" s="165">
        <f t="shared" ref="F65" si="28">F64-E64</f>
        <v>129.45205479452034</v>
      </c>
      <c r="G65" s="165">
        <f t="shared" ref="G65" si="29">G64-F64</f>
        <v>284.79452054794524</v>
      </c>
      <c r="H65" s="165">
        <f t="shared" ref="H65" si="30">H64-G64</f>
        <v>341.75342465753442</v>
      </c>
      <c r="I65" s="165">
        <f t="shared" ref="I65" si="31">I64-H64</f>
        <v>410.10410958904095</v>
      </c>
      <c r="J65" s="165">
        <f t="shared" ref="J65" si="32">J64-I64</f>
        <v>246.06246575342448</v>
      </c>
      <c r="K65" s="165">
        <f t="shared" ref="K65" si="33">K64-J64</f>
        <v>81.200613698631059</v>
      </c>
      <c r="L65" s="165">
        <f t="shared" ref="L65" si="34">L64-K64</f>
        <v>83.63663210958839</v>
      </c>
      <c r="M65" s="165">
        <f t="shared" ref="M65" si="35">M64-L64</f>
        <v>-2871.5243690958905</v>
      </c>
      <c r="N65" s="165">
        <f t="shared" ref="N65" si="36">N64-M64</f>
        <v>0</v>
      </c>
      <c r="O65" s="165">
        <f t="shared" ref="O65" si="37">O64-N64</f>
        <v>0</v>
      </c>
    </row>
    <row r="66" spans="1:15" s="70" customFormat="1" x14ac:dyDescent="0.3">
      <c r="B66" s="12"/>
      <c r="C66" s="164"/>
      <c r="D66" s="165"/>
      <c r="E66" s="165"/>
      <c r="F66" s="165"/>
      <c r="G66" s="165"/>
      <c r="H66" s="165"/>
      <c r="I66" s="165"/>
      <c r="J66" s="165"/>
      <c r="K66" s="165"/>
      <c r="L66" s="165"/>
      <c r="M66" s="165"/>
      <c r="N66" s="165"/>
      <c r="O66" s="165"/>
    </row>
    <row r="67" spans="1:15" s="70" customFormat="1" ht="13.5" thickBot="1" x14ac:dyDescent="0.35">
      <c r="A67" s="70" t="s">
        <v>261</v>
      </c>
      <c r="B67" s="12" t="s">
        <v>3</v>
      </c>
      <c r="C67" s="164">
        <f t="shared" si="23"/>
        <v>5318.8075179246598</v>
      </c>
      <c r="D67" s="165">
        <f>IF(E55=0,0,D55/365*D$60)</f>
        <v>410.95890410958901</v>
      </c>
      <c r="E67" s="165">
        <f t="shared" ref="E67:O67" si="38">IF(F55=0,0,E55/365*E$60)</f>
        <v>452.05479452054794</v>
      </c>
      <c r="F67" s="165">
        <f t="shared" si="38"/>
        <v>497.26027397260276</v>
      </c>
      <c r="G67" s="165">
        <f t="shared" si="38"/>
        <v>546.9863013698631</v>
      </c>
      <c r="H67" s="165">
        <f t="shared" si="38"/>
        <v>601.68493150684958</v>
      </c>
      <c r="I67" s="165">
        <f t="shared" si="38"/>
        <v>661.85342465753456</v>
      </c>
      <c r="J67" s="165">
        <f t="shared" si="38"/>
        <v>694.94609589041136</v>
      </c>
      <c r="K67" s="165">
        <f t="shared" si="38"/>
        <v>715.79447876712368</v>
      </c>
      <c r="L67" s="165">
        <f t="shared" si="38"/>
        <v>737.26831313013736</v>
      </c>
      <c r="M67" s="165">
        <f t="shared" si="38"/>
        <v>0</v>
      </c>
      <c r="N67" s="165">
        <f t="shared" si="38"/>
        <v>0</v>
      </c>
      <c r="O67" s="165">
        <f t="shared" si="38"/>
        <v>0</v>
      </c>
    </row>
    <row r="68" spans="1:15" s="70" customFormat="1" ht="13.5" thickBot="1" x14ac:dyDescent="0.35">
      <c r="A68" s="70" t="s">
        <v>114</v>
      </c>
      <c r="B68" s="12" t="s">
        <v>3</v>
      </c>
      <c r="C68" s="164"/>
      <c r="D68" s="219">
        <f>D67</f>
        <v>410.95890410958901</v>
      </c>
      <c r="E68" s="165">
        <f t="shared" ref="E68" si="39">E67-D67</f>
        <v>41.09589041095893</v>
      </c>
      <c r="F68" s="165">
        <f t="shared" ref="F68" si="40">F67-E67</f>
        <v>45.205479452054817</v>
      </c>
      <c r="G68" s="165">
        <f t="shared" ref="G68" si="41">G67-F67</f>
        <v>49.726027397260339</v>
      </c>
      <c r="H68" s="165">
        <f t="shared" ref="H68" si="42">H67-G67</f>
        <v>54.69863013698648</v>
      </c>
      <c r="I68" s="165">
        <f t="shared" ref="I68" si="43">I67-H67</f>
        <v>60.168493150684981</v>
      </c>
      <c r="J68" s="165">
        <f t="shared" ref="J68" si="44">J67-I67</f>
        <v>33.092671232876796</v>
      </c>
      <c r="K68" s="165">
        <f t="shared" ref="K68" si="45">K67-J67</f>
        <v>20.848382876712321</v>
      </c>
      <c r="L68" s="165">
        <f t="shared" ref="L68" si="46">L67-K67</f>
        <v>21.47383436301368</v>
      </c>
      <c r="M68" s="165">
        <f t="shared" ref="M68" si="47">M67-L67</f>
        <v>-737.26831313013736</v>
      </c>
      <c r="N68" s="165">
        <f t="shared" ref="N68" si="48">N67-M67</f>
        <v>0</v>
      </c>
      <c r="O68" s="165">
        <f t="shared" ref="O68" si="49">O67-N67</f>
        <v>0</v>
      </c>
    </row>
    <row r="69" spans="1:15" s="60" customFormat="1" ht="28.5" customHeight="1" x14ac:dyDescent="0.35">
      <c r="A69" s="60" t="s">
        <v>176</v>
      </c>
    </row>
    <row r="70" spans="1:15" s="70" customFormat="1" x14ac:dyDescent="0.3">
      <c r="A70" s="70" t="s">
        <v>109</v>
      </c>
      <c r="B70" s="12" t="s">
        <v>3</v>
      </c>
      <c r="C70" s="164">
        <f t="shared" si="23"/>
        <v>400090.76794514002</v>
      </c>
      <c r="D70" s="165">
        <f>D53+D62</f>
        <v>21643.835616438355</v>
      </c>
      <c r="E70" s="165">
        <f t="shared" ref="E70:O70" si="50">E53+E62</f>
        <v>21082.191780821919</v>
      </c>
      <c r="F70" s="165">
        <f t="shared" si="50"/>
        <v>23272.602739726033</v>
      </c>
      <c r="G70" s="165">
        <f t="shared" si="50"/>
        <v>28099.726027397264</v>
      </c>
      <c r="H70" s="165">
        <f t="shared" si="50"/>
        <v>36719.506849315076</v>
      </c>
      <c r="I70" s="165">
        <f t="shared" si="50"/>
        <v>47735.358904109598</v>
      </c>
      <c r="J70" s="165">
        <f t="shared" si="50"/>
        <v>54451.38328767124</v>
      </c>
      <c r="K70" s="165">
        <f t="shared" si="50"/>
        <v>55622.874156164391</v>
      </c>
      <c r="L70" s="165">
        <f t="shared" si="50"/>
        <v>57291.560380849318</v>
      </c>
      <c r="M70" s="165">
        <f t="shared" si="50"/>
        <v>54171.728202646853</v>
      </c>
      <c r="N70" s="165">
        <f t="shared" si="50"/>
        <v>0</v>
      </c>
      <c r="O70" s="165">
        <f t="shared" si="50"/>
        <v>0</v>
      </c>
    </row>
    <row r="71" spans="1:15" s="70" customFormat="1" x14ac:dyDescent="0.3">
      <c r="A71" s="70" t="s">
        <v>110</v>
      </c>
      <c r="B71" s="12" t="s">
        <v>3</v>
      </c>
      <c r="C71" s="164">
        <f t="shared" si="23"/>
        <v>261523.12684272</v>
      </c>
      <c r="D71" s="165">
        <f>D54+D65</f>
        <v>16232.876712328767</v>
      </c>
      <c r="E71" s="165">
        <f t="shared" ref="E71:O71" si="51">E54+E65</f>
        <v>15811.643835616438</v>
      </c>
      <c r="F71" s="165">
        <f t="shared" si="51"/>
        <v>17454.452054794521</v>
      </c>
      <c r="G71" s="165">
        <f t="shared" si="51"/>
        <v>21074.794520547945</v>
      </c>
      <c r="H71" s="165">
        <f t="shared" si="51"/>
        <v>25289.753424657534</v>
      </c>
      <c r="I71" s="165">
        <f t="shared" si="51"/>
        <v>30347.704109589038</v>
      </c>
      <c r="J71" s="165">
        <f t="shared" si="51"/>
        <v>33177.422465753421</v>
      </c>
      <c r="K71" s="165">
        <f t="shared" si="51"/>
        <v>34000.501413698636</v>
      </c>
      <c r="L71" s="165">
        <f t="shared" si="51"/>
        <v>35020.516456109588</v>
      </c>
      <c r="M71" s="165">
        <f t="shared" si="51"/>
        <v>33113.461849624116</v>
      </c>
      <c r="N71" s="165">
        <f t="shared" si="51"/>
        <v>0</v>
      </c>
      <c r="O71" s="165">
        <f t="shared" si="51"/>
        <v>0</v>
      </c>
    </row>
    <row r="72" spans="1:15" s="70" customFormat="1" x14ac:dyDescent="0.3">
      <c r="A72" s="70" t="s">
        <v>111</v>
      </c>
      <c r="B72" s="12" t="s">
        <v>3</v>
      </c>
      <c r="C72" s="164">
        <f t="shared" si="23"/>
        <v>73951.35887879254</v>
      </c>
      <c r="D72" s="165">
        <f>D55+D68</f>
        <v>5410.9589041095887</v>
      </c>
      <c r="E72" s="165">
        <f t="shared" ref="E72:O72" si="52">E55+E68</f>
        <v>5541.0958904109593</v>
      </c>
      <c r="F72" s="165">
        <f t="shared" si="52"/>
        <v>6095.2054794520554</v>
      </c>
      <c r="G72" s="165">
        <f t="shared" si="52"/>
        <v>6704.7260273972624</v>
      </c>
      <c r="H72" s="165">
        <f t="shared" si="52"/>
        <v>7375.1986301369889</v>
      </c>
      <c r="I72" s="165">
        <f t="shared" si="52"/>
        <v>8112.718493150689</v>
      </c>
      <c r="J72" s="165">
        <f t="shared" si="52"/>
        <v>8488.2701712328817</v>
      </c>
      <c r="K72" s="165">
        <f t="shared" si="52"/>
        <v>8729.681207876718</v>
      </c>
      <c r="L72" s="165">
        <f t="shared" si="52"/>
        <v>8991.5716441130189</v>
      </c>
      <c r="M72" s="165">
        <f t="shared" si="52"/>
        <v>8501.9324309123695</v>
      </c>
      <c r="N72" s="165">
        <f t="shared" si="52"/>
        <v>0</v>
      </c>
      <c r="O72" s="165">
        <f t="shared" si="52"/>
        <v>0</v>
      </c>
    </row>
    <row r="73" spans="1:15" s="13" customFormat="1" x14ac:dyDescent="0.3">
      <c r="A73" s="215" t="s">
        <v>112</v>
      </c>
      <c r="B73" s="74" t="s">
        <v>3</v>
      </c>
      <c r="C73" s="164">
        <f t="shared" si="23"/>
        <v>735565.2536666526</v>
      </c>
      <c r="D73" s="216">
        <f>SUM(D70:D72)</f>
        <v>43287.67123287671</v>
      </c>
      <c r="E73" s="216">
        <f t="shared" ref="E73:O73" si="53">SUM(E70:E72)</f>
        <v>42434.931506849316</v>
      </c>
      <c r="F73" s="216">
        <f t="shared" si="53"/>
        <v>46822.260273972614</v>
      </c>
      <c r="G73" s="216">
        <f t="shared" si="53"/>
        <v>55879.246575342477</v>
      </c>
      <c r="H73" s="216">
        <f t="shared" si="53"/>
        <v>69384.458904109604</v>
      </c>
      <c r="I73" s="216">
        <f t="shared" si="53"/>
        <v>86195.781506849336</v>
      </c>
      <c r="J73" s="216">
        <f t="shared" si="53"/>
        <v>96117.075924657547</v>
      </c>
      <c r="K73" s="216">
        <f t="shared" si="53"/>
        <v>98353.056777739752</v>
      </c>
      <c r="L73" s="216">
        <f t="shared" si="53"/>
        <v>101303.64848107193</v>
      </c>
      <c r="M73" s="216">
        <f t="shared" si="53"/>
        <v>95787.122483183339</v>
      </c>
      <c r="N73" s="216">
        <f t="shared" si="53"/>
        <v>0</v>
      </c>
      <c r="O73" s="216">
        <f t="shared" si="53"/>
        <v>0</v>
      </c>
    </row>
    <row r="74" spans="1:15" s="60" customFormat="1" ht="28.5" customHeight="1" x14ac:dyDescent="0.35">
      <c r="A74" s="60" t="s">
        <v>290</v>
      </c>
    </row>
    <row r="75" spans="1:15" s="70" customFormat="1" x14ac:dyDescent="0.3">
      <c r="A75" s="70" t="s">
        <v>109</v>
      </c>
      <c r="B75" s="12" t="s">
        <v>18</v>
      </c>
      <c r="C75" s="164">
        <f t="shared" ref="C75:C78" si="54">SUM(D75:O75)</f>
        <v>457.09225032661237</v>
      </c>
      <c r="D75" s="165">
        <f t="shared" ref="D75:O75" si="55">D61*D87/1000</f>
        <v>29.589041095890412</v>
      </c>
      <c r="E75" s="165">
        <f t="shared" si="55"/>
        <v>30.447123287671236</v>
      </c>
      <c r="F75" s="165">
        <f t="shared" si="55"/>
        <v>32.821998904109591</v>
      </c>
      <c r="G75" s="165">
        <f t="shared" si="55"/>
        <v>38.598670711232877</v>
      </c>
      <c r="H75" s="165">
        <f t="shared" si="55"/>
        <v>49.174706486110694</v>
      </c>
      <c r="I75" s="165">
        <f t="shared" si="55"/>
        <v>62.648576063305022</v>
      </c>
      <c r="J75" s="165">
        <f t="shared" si="55"/>
        <v>70.604945223344743</v>
      </c>
      <c r="K75" s="165">
        <f t="shared" si="55"/>
        <v>71.268631708444204</v>
      </c>
      <c r="L75" s="165">
        <f t="shared" si="55"/>
        <v>71.938556846503573</v>
      </c>
      <c r="M75" s="165">
        <f t="shared" si="55"/>
        <v>0</v>
      </c>
      <c r="N75" s="165">
        <f t="shared" si="55"/>
        <v>0</v>
      </c>
      <c r="O75" s="165">
        <f t="shared" si="55"/>
        <v>0</v>
      </c>
    </row>
    <row r="76" spans="1:15" s="70" customFormat="1" x14ac:dyDescent="0.3">
      <c r="A76" s="70" t="s">
        <v>110</v>
      </c>
      <c r="B76" s="12" t="s">
        <v>18</v>
      </c>
      <c r="C76" s="164">
        <f t="shared" si="54"/>
        <v>471.90735745220888</v>
      </c>
      <c r="D76" s="165">
        <f t="shared" ref="D76:O76" si="56">D64*D88/1000</f>
        <v>34.520547945205479</v>
      </c>
      <c r="E76" s="165">
        <f t="shared" si="56"/>
        <v>35.521643835616437</v>
      </c>
      <c r="F76" s="165">
        <f t="shared" si="56"/>
        <v>38.292332054794521</v>
      </c>
      <c r="G76" s="165">
        <f t="shared" si="56"/>
        <v>45.031782496438353</v>
      </c>
      <c r="H76" s="165">
        <f t="shared" si="56"/>
        <v>52.957376215811507</v>
      </c>
      <c r="I76" s="165">
        <f t="shared" si="56"/>
        <v>62.277874429794331</v>
      </c>
      <c r="J76" s="165">
        <f t="shared" si="56"/>
        <v>67.135548635318287</v>
      </c>
      <c r="K76" s="165">
        <f t="shared" si="56"/>
        <v>67.766622792490296</v>
      </c>
      <c r="L76" s="165">
        <f t="shared" si="56"/>
        <v>68.403629046739695</v>
      </c>
      <c r="M76" s="165">
        <f t="shared" si="56"/>
        <v>0</v>
      </c>
      <c r="N76" s="165">
        <f t="shared" si="56"/>
        <v>0</v>
      </c>
      <c r="O76" s="165">
        <f t="shared" si="56"/>
        <v>0</v>
      </c>
    </row>
    <row r="77" spans="1:15" s="70" customFormat="1" x14ac:dyDescent="0.3">
      <c r="A77" s="70" t="s">
        <v>111</v>
      </c>
      <c r="B77" s="12" t="s">
        <v>18</v>
      </c>
      <c r="C77" s="164">
        <f t="shared" si="54"/>
        <v>184.82635263910879</v>
      </c>
      <c r="D77" s="165">
        <f t="shared" ref="D77:O77" si="57">D67*D89/1000</f>
        <v>15.616438356164382</v>
      </c>
      <c r="E77" s="165">
        <f t="shared" si="57"/>
        <v>16.834520547945207</v>
      </c>
      <c r="F77" s="165">
        <f t="shared" si="57"/>
        <v>18.147613150684933</v>
      </c>
      <c r="G77" s="165">
        <f t="shared" si="57"/>
        <v>19.563126976438362</v>
      </c>
      <c r="H77" s="165">
        <f t="shared" si="57"/>
        <v>21.08905088060056</v>
      </c>
      <c r="I77" s="165">
        <f t="shared" si="57"/>
        <v>22.733996849287408</v>
      </c>
      <c r="J77" s="165">
        <f t="shared" si="57"/>
        <v>23.393282757916747</v>
      </c>
      <c r="K77" s="165">
        <f t="shared" si="57"/>
        <v>23.613179615841158</v>
      </c>
      <c r="L77" s="165">
        <f t="shared" si="57"/>
        <v>23.835143504230061</v>
      </c>
      <c r="M77" s="165">
        <f t="shared" si="57"/>
        <v>0</v>
      </c>
      <c r="N77" s="165">
        <f t="shared" si="57"/>
        <v>0</v>
      </c>
      <c r="O77" s="165">
        <f t="shared" si="57"/>
        <v>0</v>
      </c>
    </row>
    <row r="78" spans="1:15" s="13" customFormat="1" x14ac:dyDescent="0.3">
      <c r="A78" s="215" t="str">
        <f>A74</f>
        <v>Working stocks of ABC's - closing</v>
      </c>
      <c r="B78" s="74" t="s">
        <v>18</v>
      </c>
      <c r="C78" s="164">
        <f t="shared" si="54"/>
        <v>1113.82596041793</v>
      </c>
      <c r="D78" s="216">
        <f>SUM(D75:D77)</f>
        <v>79.726027397260268</v>
      </c>
      <c r="E78" s="216">
        <f t="shared" ref="E78:O78" si="58">SUM(E75:E77)</f>
        <v>82.80328767123288</v>
      </c>
      <c r="F78" s="216">
        <f t="shared" si="58"/>
        <v>89.261944109589038</v>
      </c>
      <c r="G78" s="216">
        <f t="shared" si="58"/>
        <v>103.19358018410958</v>
      </c>
      <c r="H78" s="216">
        <f t="shared" si="58"/>
        <v>123.22113358252275</v>
      </c>
      <c r="I78" s="216">
        <f t="shared" si="58"/>
        <v>147.66044734238676</v>
      </c>
      <c r="J78" s="216">
        <f t="shared" si="58"/>
        <v>161.13377661657978</v>
      </c>
      <c r="K78" s="216">
        <f t="shared" si="58"/>
        <v>162.64843411677566</v>
      </c>
      <c r="L78" s="216">
        <f t="shared" si="58"/>
        <v>164.17732939747333</v>
      </c>
      <c r="M78" s="216">
        <f t="shared" si="58"/>
        <v>0</v>
      </c>
      <c r="N78" s="216">
        <f t="shared" si="58"/>
        <v>0</v>
      </c>
      <c r="O78" s="216">
        <f t="shared" si="58"/>
        <v>0</v>
      </c>
    </row>
    <row r="79" spans="1:15" s="75" customFormat="1" ht="45" customHeight="1" x14ac:dyDescent="0.35">
      <c r="A79" s="31" t="s">
        <v>166</v>
      </c>
      <c r="B79" s="19"/>
      <c r="C79" s="162"/>
      <c r="D79" s="163"/>
      <c r="E79" s="163"/>
      <c r="F79" s="163"/>
      <c r="G79" s="163"/>
      <c r="H79" s="163"/>
      <c r="I79" s="163"/>
      <c r="J79" s="163"/>
      <c r="K79" s="163"/>
      <c r="L79" s="163"/>
      <c r="M79" s="163"/>
      <c r="N79" s="163"/>
      <c r="O79" s="163"/>
    </row>
    <row r="80" spans="1:15" s="59" customFormat="1" ht="32.25" customHeight="1" x14ac:dyDescent="0.35">
      <c r="A80" s="60" t="s">
        <v>167</v>
      </c>
      <c r="B80" s="54"/>
      <c r="C80" s="61"/>
      <c r="D80" s="62"/>
      <c r="E80" s="62"/>
      <c r="F80" s="62"/>
      <c r="G80" s="62"/>
      <c r="H80" s="62"/>
      <c r="I80" s="62"/>
      <c r="J80" s="62"/>
      <c r="K80" s="62"/>
      <c r="L80" s="62"/>
      <c r="M80" s="62"/>
      <c r="N80" s="62"/>
      <c r="O80" s="62"/>
    </row>
    <row r="81" spans="1:15" ht="18" customHeight="1" x14ac:dyDescent="0.35">
      <c r="A81" s="152" t="s">
        <v>353</v>
      </c>
      <c r="C81" s="164"/>
      <c r="D81" s="164"/>
      <c r="E81" s="164"/>
      <c r="F81" s="164"/>
      <c r="G81" s="164"/>
      <c r="H81" s="164"/>
      <c r="I81" s="164"/>
      <c r="J81" s="164"/>
      <c r="K81" s="164"/>
      <c r="L81" s="164"/>
      <c r="M81" s="164"/>
      <c r="N81" s="164"/>
      <c r="O81" s="12"/>
    </row>
    <row r="82" spans="1:15" x14ac:dyDescent="0.3">
      <c r="A82" s="15" t="s">
        <v>424</v>
      </c>
      <c r="D82" s="120"/>
      <c r="E82" s="120"/>
      <c r="F82" s="120"/>
      <c r="G82" s="120"/>
      <c r="H82" s="120"/>
      <c r="I82" s="120"/>
      <c r="J82" s="120"/>
      <c r="K82" s="120"/>
      <c r="L82" s="120"/>
      <c r="M82" s="120"/>
      <c r="N82" s="120"/>
      <c r="O82" s="12"/>
    </row>
    <row r="83" spans="1:15" x14ac:dyDescent="0.3">
      <c r="A83" s="184" t="s">
        <v>115</v>
      </c>
      <c r="B83" s="185" t="s">
        <v>91</v>
      </c>
      <c r="C83" s="186"/>
      <c r="D83" s="247">
        <v>0</v>
      </c>
      <c r="E83" s="247">
        <v>0.02</v>
      </c>
      <c r="F83" s="186">
        <f>E83</f>
        <v>0.02</v>
      </c>
      <c r="G83" s="186">
        <f t="shared" ref="G83:O83" si="59">F83</f>
        <v>0.02</v>
      </c>
      <c r="H83" s="186">
        <f t="shared" si="59"/>
        <v>0.02</v>
      </c>
      <c r="I83" s="186">
        <f t="shared" si="59"/>
        <v>0.02</v>
      </c>
      <c r="J83" s="186">
        <f t="shared" si="59"/>
        <v>0.02</v>
      </c>
      <c r="K83" s="186">
        <f t="shared" si="59"/>
        <v>0.02</v>
      </c>
      <c r="L83" s="186">
        <f t="shared" si="59"/>
        <v>0.02</v>
      </c>
      <c r="M83" s="186">
        <f t="shared" si="59"/>
        <v>0.02</v>
      </c>
      <c r="N83" s="186">
        <f t="shared" si="59"/>
        <v>0.02</v>
      </c>
      <c r="O83" s="186">
        <f t="shared" si="59"/>
        <v>0.02</v>
      </c>
    </row>
    <row r="84" spans="1:15" x14ac:dyDescent="0.3">
      <c r="A84" s="184" t="s">
        <v>297</v>
      </c>
      <c r="B84" s="185" t="s">
        <v>91</v>
      </c>
      <c r="C84" s="186"/>
      <c r="D84" s="247">
        <f>D83</f>
        <v>0</v>
      </c>
      <c r="E84" s="247">
        <v>0.02</v>
      </c>
      <c r="F84" s="186">
        <f t="shared" ref="F84:O85" si="60">E84</f>
        <v>0.02</v>
      </c>
      <c r="G84" s="186">
        <f t="shared" si="60"/>
        <v>0.02</v>
      </c>
      <c r="H84" s="186">
        <f t="shared" si="60"/>
        <v>0.02</v>
      </c>
      <c r="I84" s="186">
        <f t="shared" si="60"/>
        <v>0.02</v>
      </c>
      <c r="J84" s="186">
        <f t="shared" si="60"/>
        <v>0.02</v>
      </c>
      <c r="K84" s="186">
        <f t="shared" si="60"/>
        <v>0.02</v>
      </c>
      <c r="L84" s="186">
        <f t="shared" si="60"/>
        <v>0.02</v>
      </c>
      <c r="M84" s="186">
        <f t="shared" si="60"/>
        <v>0.02</v>
      </c>
      <c r="N84" s="186">
        <f t="shared" si="60"/>
        <v>0.02</v>
      </c>
      <c r="O84" s="186">
        <f t="shared" si="60"/>
        <v>0.02</v>
      </c>
    </row>
    <row r="85" spans="1:15" x14ac:dyDescent="0.3">
      <c r="A85" s="184" t="s">
        <v>301</v>
      </c>
      <c r="B85" s="185" t="s">
        <v>91</v>
      </c>
      <c r="C85" s="186"/>
      <c r="D85" s="247">
        <f>D84</f>
        <v>0</v>
      </c>
      <c r="E85" s="247">
        <v>0.02</v>
      </c>
      <c r="F85" s="186">
        <f t="shared" si="60"/>
        <v>0.02</v>
      </c>
      <c r="G85" s="186">
        <f t="shared" si="60"/>
        <v>0.02</v>
      </c>
      <c r="H85" s="186">
        <f t="shared" si="60"/>
        <v>0.02</v>
      </c>
      <c r="I85" s="186">
        <f t="shared" si="60"/>
        <v>0.02</v>
      </c>
      <c r="J85" s="186">
        <f t="shared" si="60"/>
        <v>0.02</v>
      </c>
      <c r="K85" s="186">
        <f t="shared" si="60"/>
        <v>0.02</v>
      </c>
      <c r="L85" s="186">
        <f t="shared" si="60"/>
        <v>0.02</v>
      </c>
      <c r="M85" s="186">
        <f t="shared" si="60"/>
        <v>0.02</v>
      </c>
      <c r="N85" s="186">
        <f t="shared" si="60"/>
        <v>0.02</v>
      </c>
      <c r="O85" s="186">
        <f t="shared" si="60"/>
        <v>0.02</v>
      </c>
    </row>
    <row r="86" spans="1:15" ht="14.5" x14ac:dyDescent="0.35">
      <c r="A86" s="152" t="s">
        <v>335</v>
      </c>
      <c r="C86" s="165"/>
      <c r="D86" s="165"/>
      <c r="E86" s="165"/>
      <c r="F86" s="165"/>
      <c r="G86" s="165"/>
      <c r="H86" s="165"/>
      <c r="I86" s="165"/>
      <c r="J86" s="165"/>
      <c r="K86" s="165"/>
      <c r="L86" s="165"/>
      <c r="M86" s="165"/>
      <c r="N86" s="165"/>
      <c r="O86" s="12"/>
    </row>
    <row r="87" spans="1:15" x14ac:dyDescent="0.3">
      <c r="A87" s="74" t="s">
        <v>116</v>
      </c>
      <c r="B87" s="12" t="s">
        <v>205</v>
      </c>
      <c r="C87" s="246">
        <v>18</v>
      </c>
      <c r="D87" s="220">
        <f>C87*(1-D83)</f>
        <v>18</v>
      </c>
      <c r="E87" s="220">
        <f t="shared" ref="E87:O87" si="61">D87*(1-E83)</f>
        <v>17.64</v>
      </c>
      <c r="F87" s="220">
        <f t="shared" si="61"/>
        <v>17.287199999999999</v>
      </c>
      <c r="G87" s="220">
        <f t="shared" si="61"/>
        <v>16.941455999999999</v>
      </c>
      <c r="H87" s="220">
        <f t="shared" si="61"/>
        <v>16.602626879999999</v>
      </c>
      <c r="I87" s="220">
        <f t="shared" si="61"/>
        <v>16.2705743424</v>
      </c>
      <c r="J87" s="220">
        <f t="shared" si="61"/>
        <v>15.945162855551999</v>
      </c>
      <c r="K87" s="220">
        <f t="shared" si="61"/>
        <v>15.626259598440958</v>
      </c>
      <c r="L87" s="220">
        <f t="shared" si="61"/>
        <v>15.31373440647214</v>
      </c>
      <c r="M87" s="220">
        <f t="shared" si="61"/>
        <v>15.007459718342696</v>
      </c>
      <c r="N87" s="220">
        <f t="shared" si="61"/>
        <v>14.707310523975842</v>
      </c>
      <c r="O87" s="220">
        <f t="shared" si="61"/>
        <v>14.413164313496324</v>
      </c>
    </row>
    <row r="88" spans="1:15" x14ac:dyDescent="0.3">
      <c r="A88" s="74" t="s">
        <v>117</v>
      </c>
      <c r="B88" s="12" t="s">
        <v>205</v>
      </c>
      <c r="C88" s="246">
        <v>28</v>
      </c>
      <c r="D88" s="220">
        <f t="shared" ref="D88:O89" si="62">C88*(1-D84)</f>
        <v>28</v>
      </c>
      <c r="E88" s="220">
        <f t="shared" si="62"/>
        <v>27.439999999999998</v>
      </c>
      <c r="F88" s="220">
        <f t="shared" si="62"/>
        <v>26.891199999999998</v>
      </c>
      <c r="G88" s="220">
        <f t="shared" si="62"/>
        <v>26.353375999999997</v>
      </c>
      <c r="H88" s="220">
        <f t="shared" si="62"/>
        <v>25.826308479999998</v>
      </c>
      <c r="I88" s="220">
        <f t="shared" si="62"/>
        <v>25.309782310399999</v>
      </c>
      <c r="J88" s="220">
        <f t="shared" si="62"/>
        <v>24.803586664192</v>
      </c>
      <c r="K88" s="220">
        <f t="shared" si="62"/>
        <v>24.307514930908159</v>
      </c>
      <c r="L88" s="220">
        <f t="shared" si="62"/>
        <v>23.821364632289995</v>
      </c>
      <c r="M88" s="220">
        <f t="shared" si="62"/>
        <v>23.344937339644193</v>
      </c>
      <c r="N88" s="220">
        <f t="shared" si="62"/>
        <v>22.878038592851308</v>
      </c>
      <c r="O88" s="220">
        <f t="shared" si="62"/>
        <v>22.420477820994282</v>
      </c>
    </row>
    <row r="89" spans="1:15" x14ac:dyDescent="0.3">
      <c r="A89" s="74" t="s">
        <v>118</v>
      </c>
      <c r="B89" s="12" t="s">
        <v>205</v>
      </c>
      <c r="C89" s="246">
        <v>38</v>
      </c>
      <c r="D89" s="220">
        <f t="shared" si="62"/>
        <v>38</v>
      </c>
      <c r="E89" s="220">
        <f t="shared" si="62"/>
        <v>37.24</v>
      </c>
      <c r="F89" s="220">
        <f t="shared" si="62"/>
        <v>36.495200000000004</v>
      </c>
      <c r="G89" s="220">
        <f t="shared" si="62"/>
        <v>35.765296000000006</v>
      </c>
      <c r="H89" s="220">
        <f t="shared" si="62"/>
        <v>35.049990080000008</v>
      </c>
      <c r="I89" s="220">
        <f t="shared" si="62"/>
        <v>34.348990278400009</v>
      </c>
      <c r="J89" s="220">
        <f t="shared" si="62"/>
        <v>33.662010472832009</v>
      </c>
      <c r="K89" s="220">
        <f t="shared" si="62"/>
        <v>32.988770263375365</v>
      </c>
      <c r="L89" s="220">
        <f t="shared" si="62"/>
        <v>32.328994858107855</v>
      </c>
      <c r="M89" s="220">
        <f t="shared" si="62"/>
        <v>31.682414960945696</v>
      </c>
      <c r="N89" s="220">
        <f t="shared" si="62"/>
        <v>31.048766661726781</v>
      </c>
      <c r="O89" s="220">
        <f t="shared" si="62"/>
        <v>30.427791328492244</v>
      </c>
    </row>
    <row r="90" spans="1:15" ht="6" customHeight="1" x14ac:dyDescent="0.3">
      <c r="A90" s="70"/>
      <c r="C90" s="165"/>
      <c r="D90" s="165"/>
      <c r="E90" s="165"/>
      <c r="F90" s="165"/>
      <c r="G90" s="165"/>
      <c r="H90" s="165"/>
      <c r="I90" s="165"/>
      <c r="J90" s="165"/>
      <c r="K90" s="165"/>
      <c r="L90" s="165"/>
      <c r="M90" s="165"/>
      <c r="N90" s="165"/>
      <c r="O90" s="12"/>
    </row>
    <row r="91" spans="1:15" ht="14.5" x14ac:dyDescent="0.35">
      <c r="A91" s="152" t="s">
        <v>336</v>
      </c>
      <c r="C91" s="165"/>
      <c r="D91" s="165"/>
      <c r="E91" s="165"/>
      <c r="F91" s="165"/>
      <c r="G91" s="165"/>
      <c r="H91" s="165"/>
      <c r="I91" s="165"/>
      <c r="J91" s="165"/>
      <c r="K91" s="165"/>
      <c r="L91" s="165"/>
      <c r="M91" s="165"/>
      <c r="N91" s="165"/>
      <c r="O91" s="12"/>
    </row>
    <row r="92" spans="1:15" x14ac:dyDescent="0.3">
      <c r="A92" s="74" t="s">
        <v>116</v>
      </c>
      <c r="B92" s="74" t="s">
        <v>18</v>
      </c>
      <c r="C92" s="164">
        <f t="shared" ref="C92:C94" si="63">SUM(D92:O92)</f>
        <v>6453.9107052307882</v>
      </c>
      <c r="D92" s="165">
        <f t="shared" ref="D92:O92" si="64">D70*D87/1000</f>
        <v>389.58904109589042</v>
      </c>
      <c r="E92" s="165">
        <f t="shared" si="64"/>
        <v>371.88986301369869</v>
      </c>
      <c r="F92" s="165">
        <f t="shared" si="64"/>
        <v>402.31813808219187</v>
      </c>
      <c r="G92" s="165">
        <f t="shared" si="64"/>
        <v>476.05027210520552</v>
      </c>
      <c r="H92" s="165">
        <f t="shared" si="64"/>
        <v>609.64027143678254</v>
      </c>
      <c r="I92" s="165">
        <f t="shared" si="64"/>
        <v>776.68170581046093</v>
      </c>
      <c r="J92" s="165">
        <f t="shared" si="64"/>
        <v>868.23617423200039</v>
      </c>
      <c r="K92" s="165">
        <f t="shared" si="64"/>
        <v>869.17747117563738</v>
      </c>
      <c r="L92" s="165">
        <f t="shared" si="64"/>
        <v>877.34773940468824</v>
      </c>
      <c r="M92" s="165">
        <f t="shared" si="64"/>
        <v>812.98002887423161</v>
      </c>
      <c r="N92" s="165">
        <f t="shared" si="64"/>
        <v>0</v>
      </c>
      <c r="O92" s="165">
        <f t="shared" si="64"/>
        <v>0</v>
      </c>
    </row>
    <row r="93" spans="1:15" x14ac:dyDescent="0.3">
      <c r="A93" s="74" t="s">
        <v>117</v>
      </c>
      <c r="B93" s="74" t="s">
        <v>18</v>
      </c>
      <c r="C93" s="164">
        <f t="shared" si="63"/>
        <v>6591.0449112615643</v>
      </c>
      <c r="D93" s="165">
        <f t="shared" ref="D93:O93" si="65">D71*D88/1000</f>
        <v>454.52054794520546</v>
      </c>
      <c r="E93" s="165">
        <f t="shared" si="65"/>
        <v>433.87150684931504</v>
      </c>
      <c r="F93" s="165">
        <f t="shared" si="65"/>
        <v>469.37116109589039</v>
      </c>
      <c r="G93" s="165">
        <f t="shared" si="65"/>
        <v>555.39198412273959</v>
      </c>
      <c r="H93" s="165">
        <f t="shared" si="65"/>
        <v>653.14097332834183</v>
      </c>
      <c r="I93" s="165">
        <f t="shared" si="65"/>
        <v>768.09378463412997</v>
      </c>
      <c r="J93" s="165">
        <f t="shared" si="65"/>
        <v>822.91907342382569</v>
      </c>
      <c r="K93" s="165">
        <f t="shared" si="65"/>
        <v>826.46769577184352</v>
      </c>
      <c r="L93" s="165">
        <f t="shared" si="65"/>
        <v>834.23649211209874</v>
      </c>
      <c r="M93" s="165">
        <f t="shared" si="65"/>
        <v>773.03169197817351</v>
      </c>
      <c r="N93" s="165">
        <f t="shared" si="65"/>
        <v>0</v>
      </c>
      <c r="O93" s="165">
        <f t="shared" si="65"/>
        <v>0</v>
      </c>
    </row>
    <row r="94" spans="1:15" x14ac:dyDescent="0.3">
      <c r="A94" s="74" t="s">
        <v>118</v>
      </c>
      <c r="B94" s="74" t="s">
        <v>18</v>
      </c>
      <c r="C94" s="164">
        <f t="shared" si="63"/>
        <v>2545.1373427088388</v>
      </c>
      <c r="D94" s="165">
        <f t="shared" ref="D94:O94" si="66">D72*D89/1000</f>
        <v>205.61643835616437</v>
      </c>
      <c r="E94" s="165">
        <f t="shared" si="66"/>
        <v>206.35041095890412</v>
      </c>
      <c r="F94" s="165">
        <f t="shared" si="66"/>
        <v>222.44574301369866</v>
      </c>
      <c r="G94" s="165">
        <f t="shared" si="66"/>
        <v>239.79651096876725</v>
      </c>
      <c r="H94" s="165">
        <f t="shared" si="66"/>
        <v>258.50063882433113</v>
      </c>
      <c r="I94" s="165">
        <f t="shared" si="66"/>
        <v>278.66368865262899</v>
      </c>
      <c r="J94" s="165">
        <f t="shared" si="66"/>
        <v>285.73223940026884</v>
      </c>
      <c r="K94" s="165">
        <f t="shared" si="66"/>
        <v>287.98144783915018</v>
      </c>
      <c r="L94" s="165">
        <f t="shared" si="66"/>
        <v>290.68847344883818</v>
      </c>
      <c r="M94" s="165">
        <f t="shared" si="66"/>
        <v>269.36175124608747</v>
      </c>
      <c r="N94" s="165">
        <f t="shared" si="66"/>
        <v>0</v>
      </c>
      <c r="O94" s="165">
        <f t="shared" si="66"/>
        <v>0</v>
      </c>
    </row>
    <row r="95" spans="1:15" s="13" customFormat="1" x14ac:dyDescent="0.3">
      <c r="A95" s="215" t="s">
        <v>212</v>
      </c>
      <c r="B95" s="74" t="s">
        <v>18</v>
      </c>
      <c r="C95" s="164">
        <f>SUM(D95:O95)</f>
        <v>15590.092959201191</v>
      </c>
      <c r="D95" s="216">
        <f>SUM(D92:D94)</f>
        <v>1049.7260273972602</v>
      </c>
      <c r="E95" s="216">
        <f t="shared" ref="E95:O95" si="67">SUM(E92:E94)</f>
        <v>1012.1117808219178</v>
      </c>
      <c r="F95" s="216">
        <f t="shared" si="67"/>
        <v>1094.1350421917809</v>
      </c>
      <c r="G95" s="216">
        <f t="shared" si="67"/>
        <v>1271.2387671967124</v>
      </c>
      <c r="H95" s="216">
        <f t="shared" si="67"/>
        <v>1521.2818835894557</v>
      </c>
      <c r="I95" s="216">
        <f t="shared" si="67"/>
        <v>1823.4391790972199</v>
      </c>
      <c r="J95" s="216">
        <f t="shared" si="67"/>
        <v>1976.8874870560949</v>
      </c>
      <c r="K95" s="216">
        <f t="shared" si="67"/>
        <v>1983.6266147866311</v>
      </c>
      <c r="L95" s="216">
        <f t="shared" si="67"/>
        <v>2002.2727049656251</v>
      </c>
      <c r="M95" s="216">
        <f t="shared" si="67"/>
        <v>1855.3734720984926</v>
      </c>
      <c r="N95" s="216">
        <f t="shared" si="67"/>
        <v>0</v>
      </c>
      <c r="O95" s="216">
        <f t="shared" si="67"/>
        <v>0</v>
      </c>
    </row>
    <row r="96" spans="1:15" s="70" customFormat="1" ht="10.5" customHeight="1" x14ac:dyDescent="0.3">
      <c r="B96" s="12"/>
      <c r="C96" s="165"/>
      <c r="D96" s="165"/>
      <c r="E96" s="165"/>
      <c r="F96" s="165"/>
      <c r="G96" s="165"/>
      <c r="H96" s="165"/>
      <c r="I96" s="165"/>
      <c r="J96" s="165"/>
      <c r="K96" s="165"/>
      <c r="L96" s="165"/>
      <c r="M96" s="165"/>
      <c r="N96" s="165"/>
      <c r="O96" s="165"/>
    </row>
    <row r="97" spans="1:15" s="59" customFormat="1" ht="32.25" customHeight="1" x14ac:dyDescent="0.35">
      <c r="A97" s="60" t="s">
        <v>200</v>
      </c>
      <c r="B97" s="54"/>
      <c r="C97" s="61"/>
      <c r="D97" s="62"/>
      <c r="E97" s="62"/>
      <c r="F97" s="62"/>
      <c r="G97" s="62"/>
      <c r="H97" s="62"/>
      <c r="I97" s="62"/>
      <c r="J97" s="62"/>
      <c r="K97" s="62"/>
      <c r="L97" s="62"/>
      <c r="M97" s="62"/>
      <c r="N97" s="62"/>
      <c r="O97" s="62"/>
    </row>
    <row r="98" spans="1:15" x14ac:dyDescent="0.3">
      <c r="A98" s="193" t="s">
        <v>298</v>
      </c>
      <c r="D98" s="120"/>
      <c r="E98" s="120"/>
      <c r="F98" s="120"/>
      <c r="G98" s="120"/>
      <c r="H98" s="120"/>
      <c r="I98" s="120"/>
      <c r="J98" s="120"/>
      <c r="K98" s="120"/>
      <c r="L98" s="120"/>
      <c r="M98" s="120"/>
      <c r="N98" s="120"/>
      <c r="O98" s="12"/>
    </row>
    <row r="99" spans="1:15" x14ac:dyDescent="0.3">
      <c r="A99" s="74" t="s">
        <v>332</v>
      </c>
      <c r="B99" s="74" t="str">
        <f>B73</f>
        <v>units</v>
      </c>
      <c r="C99" s="164">
        <f t="shared" ref="C99" si="68">SUM(D99:O99)</f>
        <v>735565.2536666526</v>
      </c>
      <c r="D99" s="165">
        <f t="shared" ref="D99:O99" si="69">D73</f>
        <v>43287.67123287671</v>
      </c>
      <c r="E99" s="165">
        <f t="shared" si="69"/>
        <v>42434.931506849316</v>
      </c>
      <c r="F99" s="165">
        <f t="shared" si="69"/>
        <v>46822.260273972614</v>
      </c>
      <c r="G99" s="165">
        <f t="shared" si="69"/>
        <v>55879.246575342477</v>
      </c>
      <c r="H99" s="165">
        <f t="shared" si="69"/>
        <v>69384.458904109604</v>
      </c>
      <c r="I99" s="165">
        <f t="shared" si="69"/>
        <v>86195.781506849336</v>
      </c>
      <c r="J99" s="165">
        <f t="shared" si="69"/>
        <v>96117.075924657547</v>
      </c>
      <c r="K99" s="165">
        <f t="shared" si="69"/>
        <v>98353.056777739752</v>
      </c>
      <c r="L99" s="165">
        <f t="shared" si="69"/>
        <v>101303.64848107193</v>
      </c>
      <c r="M99" s="165">
        <f t="shared" si="69"/>
        <v>95787.122483183339</v>
      </c>
      <c r="N99" s="165">
        <f t="shared" si="69"/>
        <v>0</v>
      </c>
      <c r="O99" s="165">
        <f t="shared" si="69"/>
        <v>0</v>
      </c>
    </row>
    <row r="100" spans="1:15" x14ac:dyDescent="0.3">
      <c r="A100" s="185" t="s">
        <v>119</v>
      </c>
      <c r="B100" s="185" t="s">
        <v>19</v>
      </c>
      <c r="C100" s="164"/>
      <c r="D100" s="246">
        <v>4.5</v>
      </c>
      <c r="E100" s="189">
        <f>D100</f>
        <v>4.5</v>
      </c>
      <c r="F100" s="189">
        <f>E100</f>
        <v>4.5</v>
      </c>
      <c r="G100" s="189">
        <f t="shared" ref="G100" si="70">F100</f>
        <v>4.5</v>
      </c>
      <c r="H100" s="189">
        <f t="shared" ref="H100" si="71">G100</f>
        <v>4.5</v>
      </c>
      <c r="I100" s="189">
        <f t="shared" ref="I100" si="72">H100</f>
        <v>4.5</v>
      </c>
      <c r="J100" s="189">
        <f t="shared" ref="J100" si="73">I100</f>
        <v>4.5</v>
      </c>
      <c r="K100" s="189">
        <f t="shared" ref="K100" si="74">J100</f>
        <v>4.5</v>
      </c>
      <c r="L100" s="189">
        <f t="shared" ref="L100" si="75">K100</f>
        <v>4.5</v>
      </c>
      <c r="M100" s="189">
        <f t="shared" ref="M100" si="76">L100</f>
        <v>4.5</v>
      </c>
      <c r="N100" s="189">
        <f t="shared" ref="N100" si="77">M100</f>
        <v>4.5</v>
      </c>
      <c r="O100" s="189">
        <f t="shared" ref="O100" si="78">N100</f>
        <v>4.5</v>
      </c>
    </row>
    <row r="101" spans="1:15" s="13" customFormat="1" x14ac:dyDescent="0.3">
      <c r="A101" s="215" t="s">
        <v>300</v>
      </c>
      <c r="B101" s="74" t="s">
        <v>18</v>
      </c>
      <c r="C101" s="164">
        <f>SUM(D101:O101)</f>
        <v>3310.0436414999367</v>
      </c>
      <c r="D101" s="216">
        <f>D99*D100/1000</f>
        <v>194.79452054794521</v>
      </c>
      <c r="E101" s="216">
        <f t="shared" ref="E101:O101" si="79">E99*E100/1000</f>
        <v>190.95719178082192</v>
      </c>
      <c r="F101" s="216">
        <f t="shared" si="79"/>
        <v>210.70017123287678</v>
      </c>
      <c r="G101" s="216">
        <f t="shared" si="79"/>
        <v>251.45660958904116</v>
      </c>
      <c r="H101" s="216">
        <f>H99*H100/1000</f>
        <v>312.23006506849327</v>
      </c>
      <c r="I101" s="216">
        <f t="shared" si="79"/>
        <v>387.88101678082199</v>
      </c>
      <c r="J101" s="216">
        <f t="shared" si="79"/>
        <v>432.52684166095895</v>
      </c>
      <c r="K101" s="216">
        <f t="shared" si="79"/>
        <v>442.58875549982889</v>
      </c>
      <c r="L101" s="216">
        <f t="shared" si="79"/>
        <v>455.86641816482364</v>
      </c>
      <c r="M101" s="216">
        <f t="shared" si="79"/>
        <v>431.04205117432508</v>
      </c>
      <c r="N101" s="216">
        <f t="shared" si="79"/>
        <v>0</v>
      </c>
      <c r="O101" s="216">
        <f t="shared" si="79"/>
        <v>0</v>
      </c>
    </row>
    <row r="102" spans="1:15" s="70" customFormat="1" ht="14.5" customHeight="1" x14ac:dyDescent="0.3">
      <c r="B102" s="12"/>
      <c r="C102" s="165"/>
      <c r="D102" s="165"/>
      <c r="E102" s="165"/>
      <c r="F102" s="165"/>
      <c r="G102" s="165"/>
      <c r="H102" s="165"/>
      <c r="I102" s="165"/>
      <c r="J102" s="165"/>
      <c r="K102" s="165"/>
      <c r="L102" s="165"/>
      <c r="M102" s="165"/>
      <c r="N102" s="165"/>
      <c r="O102" s="165"/>
    </row>
    <row r="103" spans="1:15" s="59" customFormat="1" ht="32.25" customHeight="1" x14ac:dyDescent="0.35">
      <c r="A103" s="60" t="s">
        <v>168</v>
      </c>
      <c r="B103" s="54"/>
      <c r="C103" s="61"/>
      <c r="D103" s="62"/>
      <c r="E103" s="62"/>
      <c r="F103" s="62"/>
      <c r="G103" s="62"/>
      <c r="H103" s="62"/>
      <c r="I103" s="62"/>
      <c r="J103" s="62"/>
      <c r="K103" s="62"/>
      <c r="L103" s="62"/>
      <c r="M103" s="62"/>
      <c r="N103" s="62"/>
      <c r="O103" s="62"/>
    </row>
    <row r="104" spans="1:15" x14ac:dyDescent="0.3">
      <c r="A104" s="15" t="s">
        <v>346</v>
      </c>
      <c r="D104" s="120"/>
      <c r="E104" s="120"/>
      <c r="F104" s="120"/>
      <c r="G104" s="120"/>
      <c r="H104" s="120"/>
      <c r="I104" s="120"/>
      <c r="J104" s="120"/>
      <c r="K104" s="120"/>
      <c r="L104" s="120"/>
      <c r="M104" s="120"/>
      <c r="N104" s="120"/>
      <c r="O104" s="12"/>
    </row>
    <row r="105" spans="1:15" s="13" customFormat="1" x14ac:dyDescent="0.3">
      <c r="A105" s="245" t="str">
        <f>'Sales &amp; Revenue'!A$37</f>
        <v>Total ABC units sold</v>
      </c>
      <c r="B105" s="245" t="str">
        <f>'Sales &amp; Revenue'!B$37</f>
        <v>units</v>
      </c>
      <c r="C105" s="236">
        <f>'Sales &amp; Revenue'!C$37</f>
        <v>735565.2536666526</v>
      </c>
      <c r="D105" s="236">
        <f>'Sales &amp; Revenue'!D$37</f>
        <v>40000</v>
      </c>
      <c r="E105" s="236">
        <f>'Sales &amp; Revenue'!E$37</f>
        <v>42250</v>
      </c>
      <c r="F105" s="236">
        <f>'Sales &amp; Revenue'!F$37</f>
        <v>46475</v>
      </c>
      <c r="G105" s="236">
        <f>'Sales &amp; Revenue'!G$37</f>
        <v>55165</v>
      </c>
      <c r="H105" s="236">
        <f>'Sales &amp; Revenue'!H$37</f>
        <v>68304.500000000015</v>
      </c>
      <c r="I105" s="236">
        <f>'Sales &amp; Revenue'!I$37</f>
        <v>84836.950000000012</v>
      </c>
      <c r="J105" s="236">
        <f>'Sales &amp; Revenue'!J$37</f>
        <v>95260.357500000013</v>
      </c>
      <c r="K105" s="236">
        <f>'Sales &amp; Revenue'!K$37</f>
        <v>98118.168225000016</v>
      </c>
      <c r="L105" s="236">
        <f>'Sales &amp; Revenue'!L$37</f>
        <v>101061.71327175002</v>
      </c>
      <c r="M105" s="236">
        <f>'Sales &amp; Revenue'!M$37</f>
        <v>104093.56466990251</v>
      </c>
      <c r="N105" s="236">
        <f>'Sales &amp; Revenue'!N$37</f>
        <v>0</v>
      </c>
      <c r="O105" s="236">
        <f>'Sales &amp; Revenue'!O$37</f>
        <v>0</v>
      </c>
    </row>
    <row r="106" spans="1:15" x14ac:dyDescent="0.3">
      <c r="A106" s="185" t="s">
        <v>120</v>
      </c>
      <c r="B106" s="185" t="s">
        <v>19</v>
      </c>
      <c r="C106" s="164"/>
      <c r="D106" s="189">
        <v>4.6500000000000004</v>
      </c>
      <c r="E106" s="189">
        <f>D106</f>
        <v>4.6500000000000004</v>
      </c>
      <c r="F106" s="189">
        <f>E106</f>
        <v>4.6500000000000004</v>
      </c>
      <c r="G106" s="189">
        <f t="shared" ref="G106" si="80">F106</f>
        <v>4.6500000000000004</v>
      </c>
      <c r="H106" s="189">
        <f t="shared" ref="H106" si="81">G106</f>
        <v>4.6500000000000004</v>
      </c>
      <c r="I106" s="189">
        <f t="shared" ref="I106" si="82">H106</f>
        <v>4.6500000000000004</v>
      </c>
      <c r="J106" s="189">
        <f t="shared" ref="J106" si="83">I106</f>
        <v>4.6500000000000004</v>
      </c>
      <c r="K106" s="189">
        <f t="shared" ref="K106" si="84">J106</f>
        <v>4.6500000000000004</v>
      </c>
      <c r="L106" s="189">
        <f t="shared" ref="L106" si="85">K106</f>
        <v>4.6500000000000004</v>
      </c>
      <c r="M106" s="189">
        <f t="shared" ref="M106" si="86">L106</f>
        <v>4.6500000000000004</v>
      </c>
      <c r="N106" s="189">
        <f t="shared" ref="N106" si="87">M106</f>
        <v>4.6500000000000004</v>
      </c>
      <c r="O106" s="189">
        <f t="shared" ref="O106" si="88">N106</f>
        <v>4.6500000000000004</v>
      </c>
    </row>
    <row r="107" spans="1:15" s="13" customFormat="1" x14ac:dyDescent="0.3">
      <c r="A107" s="215" t="s">
        <v>171</v>
      </c>
      <c r="B107" s="74" t="s">
        <v>18</v>
      </c>
      <c r="C107" s="164">
        <f>SUM(D107:O107)</f>
        <v>3420.3784295499345</v>
      </c>
      <c r="D107" s="216">
        <f>D105*D106/1000</f>
        <v>186</v>
      </c>
      <c r="E107" s="216">
        <f t="shared" ref="E107" si="89">E105*E106/1000</f>
        <v>196.46250000000003</v>
      </c>
      <c r="F107" s="216">
        <f t="shared" ref="F107" si="90">F105*F106/1000</f>
        <v>216.10875000000004</v>
      </c>
      <c r="G107" s="216">
        <f t="shared" ref="G107" si="91">G105*G106/1000</f>
        <v>256.51725000000005</v>
      </c>
      <c r="H107" s="216">
        <f t="shared" ref="H107" si="92">H105*H106/1000</f>
        <v>317.61592500000012</v>
      </c>
      <c r="I107" s="216">
        <f t="shared" ref="I107" si="93">I105*I106/1000</f>
        <v>394.49181750000008</v>
      </c>
      <c r="J107" s="216">
        <f t="shared" ref="J107" si="94">J105*J106/1000</f>
        <v>442.96066237500008</v>
      </c>
      <c r="K107" s="216">
        <f t="shared" ref="K107" si="95">K105*K106/1000</f>
        <v>456.24948224625007</v>
      </c>
      <c r="L107" s="216">
        <f t="shared" ref="L107" si="96">L105*L106/1000</f>
        <v>469.93696671363762</v>
      </c>
      <c r="M107" s="216">
        <f t="shared" ref="M107" si="97">M105*M106/1000</f>
        <v>484.03507571504673</v>
      </c>
      <c r="N107" s="216">
        <f t="shared" ref="N107" si="98">N105*N106/1000</f>
        <v>0</v>
      </c>
      <c r="O107" s="216">
        <f t="shared" ref="O107" si="99">O105*O106/1000</f>
        <v>0</v>
      </c>
    </row>
    <row r="108" spans="1:15" s="70" customFormat="1" ht="14.5" customHeight="1" x14ac:dyDescent="0.3">
      <c r="B108" s="12"/>
      <c r="C108" s="165"/>
      <c r="D108" s="165"/>
      <c r="E108" s="165"/>
      <c r="F108" s="165"/>
      <c r="G108" s="165"/>
      <c r="H108" s="165"/>
      <c r="I108" s="165"/>
      <c r="J108" s="165"/>
      <c r="K108" s="165"/>
      <c r="L108" s="165"/>
      <c r="M108" s="165"/>
      <c r="N108" s="165"/>
      <c r="O108" s="165"/>
    </row>
    <row r="109" spans="1:15" s="19" customFormat="1" ht="25.5" customHeight="1" x14ac:dyDescent="0.35">
      <c r="A109" s="86" t="str">
        <f>A79</f>
        <v>3b.  Variable Costs</v>
      </c>
      <c r="B109" s="19" t="s">
        <v>18</v>
      </c>
      <c r="C109" s="73">
        <f>SUM(D109:O109)</f>
        <v>22320.515030251059</v>
      </c>
      <c r="D109" s="200">
        <f>D95+D101+D107</f>
        <v>1430.5205479452054</v>
      </c>
      <c r="E109" s="200">
        <f t="shared" ref="E109:O109" si="100">E95+E101+E107</f>
        <v>1399.5314726027398</v>
      </c>
      <c r="F109" s="200">
        <f t="shared" si="100"/>
        <v>1520.9439634246578</v>
      </c>
      <c r="G109" s="200">
        <f t="shared" si="100"/>
        <v>1779.2126267857536</v>
      </c>
      <c r="H109" s="200">
        <f t="shared" si="100"/>
        <v>2151.1278736579493</v>
      </c>
      <c r="I109" s="200">
        <f>I95+I101+I107</f>
        <v>2605.8120133780421</v>
      </c>
      <c r="J109" s="200">
        <f t="shared" si="100"/>
        <v>2852.3749910920537</v>
      </c>
      <c r="K109" s="200">
        <f t="shared" si="100"/>
        <v>2882.4648525327098</v>
      </c>
      <c r="L109" s="200">
        <f t="shared" si="100"/>
        <v>2928.0760898440863</v>
      </c>
      <c r="M109" s="200">
        <f t="shared" si="100"/>
        <v>2770.4505989878644</v>
      </c>
      <c r="N109" s="200">
        <f t="shared" si="100"/>
        <v>0</v>
      </c>
      <c r="O109" s="200">
        <f t="shared" si="100"/>
        <v>0</v>
      </c>
    </row>
    <row r="110" spans="1:15" s="75" customFormat="1" ht="45" customHeight="1" x14ac:dyDescent="0.35">
      <c r="A110" s="31" t="s">
        <v>169</v>
      </c>
      <c r="B110" s="19"/>
      <c r="C110" s="162"/>
      <c r="D110" s="163"/>
      <c r="E110" s="163"/>
      <c r="F110" s="163"/>
      <c r="G110" s="163"/>
      <c r="H110" s="163"/>
      <c r="I110" s="163"/>
      <c r="J110" s="163"/>
      <c r="K110" s="163"/>
      <c r="L110" s="163"/>
      <c r="M110" s="163"/>
      <c r="N110" s="163"/>
      <c r="O110" s="163"/>
    </row>
    <row r="111" spans="1:15" s="59" customFormat="1" ht="32.25" customHeight="1" x14ac:dyDescent="0.35">
      <c r="A111" s="60" t="s">
        <v>170</v>
      </c>
      <c r="B111" s="54"/>
      <c r="C111" s="61"/>
      <c r="D111" s="62"/>
      <c r="E111" s="62"/>
      <c r="F111" s="62"/>
      <c r="G111" s="62"/>
      <c r="H111" s="62"/>
      <c r="I111" s="62"/>
      <c r="J111" s="62"/>
      <c r="K111" s="62"/>
      <c r="L111" s="62"/>
      <c r="M111" s="62"/>
      <c r="N111" s="62"/>
      <c r="O111" s="62"/>
    </row>
    <row r="112" spans="1:15" s="70" customFormat="1" x14ac:dyDescent="0.3">
      <c r="A112" s="15" t="s">
        <v>347</v>
      </c>
      <c r="B112" s="12"/>
      <c r="C112" s="165"/>
      <c r="D112" s="165"/>
      <c r="E112" s="165"/>
      <c r="F112" s="165"/>
      <c r="G112" s="165"/>
      <c r="H112" s="165"/>
      <c r="I112" s="165"/>
      <c r="J112" s="165"/>
      <c r="K112" s="165"/>
      <c r="L112" s="165"/>
      <c r="M112" s="165"/>
      <c r="N112" s="165"/>
      <c r="O112" s="165"/>
    </row>
    <row r="113" spans="1:17" s="70" customFormat="1" x14ac:dyDescent="0.3">
      <c r="A113" s="85" t="s">
        <v>121</v>
      </c>
      <c r="B113" s="12"/>
      <c r="C113" s="165"/>
      <c r="D113" s="165"/>
      <c r="E113" s="165"/>
      <c r="F113" s="165"/>
      <c r="G113" s="165"/>
      <c r="H113" s="165"/>
      <c r="I113" s="165"/>
      <c r="J113" s="165"/>
      <c r="K113" s="165"/>
      <c r="L113" s="165"/>
      <c r="M113" s="165"/>
      <c r="N113" s="165"/>
      <c r="O113" s="165"/>
    </row>
    <row r="114" spans="1:17" s="70" customFormat="1" ht="18" customHeight="1" x14ac:dyDescent="0.3">
      <c r="A114" s="185" t="s">
        <v>124</v>
      </c>
      <c r="B114" s="185" t="s">
        <v>18</v>
      </c>
      <c r="C114" s="164">
        <f t="shared" ref="C114" si="101">SUM(D114:O114)</f>
        <v>180</v>
      </c>
      <c r="D114" s="187">
        <v>15</v>
      </c>
      <c r="E114" s="165">
        <f>D114</f>
        <v>15</v>
      </c>
      <c r="F114" s="165">
        <f t="shared" ref="F114:O114" si="102">E114</f>
        <v>15</v>
      </c>
      <c r="G114" s="165">
        <f t="shared" si="102"/>
        <v>15</v>
      </c>
      <c r="H114" s="165">
        <f t="shared" si="102"/>
        <v>15</v>
      </c>
      <c r="I114" s="165">
        <f t="shared" si="102"/>
        <v>15</v>
      </c>
      <c r="J114" s="165">
        <f t="shared" si="102"/>
        <v>15</v>
      </c>
      <c r="K114" s="165">
        <f t="shared" si="102"/>
        <v>15</v>
      </c>
      <c r="L114" s="165">
        <f t="shared" si="102"/>
        <v>15</v>
      </c>
      <c r="M114" s="165">
        <f t="shared" si="102"/>
        <v>15</v>
      </c>
      <c r="N114" s="165">
        <f t="shared" si="102"/>
        <v>15</v>
      </c>
      <c r="O114" s="165">
        <f t="shared" si="102"/>
        <v>15</v>
      </c>
    </row>
    <row r="115" spans="1:17" s="70" customFormat="1" ht="18" customHeight="1" x14ac:dyDescent="0.3">
      <c r="A115" s="185" t="s">
        <v>125</v>
      </c>
      <c r="B115" s="185" t="s">
        <v>18</v>
      </c>
      <c r="C115" s="164">
        <f t="shared" ref="C115:C128" si="103">SUM(D115:O115)</f>
        <v>130</v>
      </c>
      <c r="D115" s="165"/>
      <c r="E115" s="165"/>
      <c r="F115" s="188">
        <v>13</v>
      </c>
      <c r="G115" s="165">
        <f>F115</f>
        <v>13</v>
      </c>
      <c r="H115" s="165">
        <f t="shared" ref="H115:O115" si="104">G115</f>
        <v>13</v>
      </c>
      <c r="I115" s="165">
        <f t="shared" si="104"/>
        <v>13</v>
      </c>
      <c r="J115" s="165">
        <f t="shared" si="104"/>
        <v>13</v>
      </c>
      <c r="K115" s="165">
        <f t="shared" si="104"/>
        <v>13</v>
      </c>
      <c r="L115" s="165">
        <f t="shared" si="104"/>
        <v>13</v>
      </c>
      <c r="M115" s="165">
        <f t="shared" si="104"/>
        <v>13</v>
      </c>
      <c r="N115" s="165">
        <f t="shared" si="104"/>
        <v>13</v>
      </c>
      <c r="O115" s="165">
        <f t="shared" si="104"/>
        <v>13</v>
      </c>
    </row>
    <row r="116" spans="1:17" s="70" customFormat="1" ht="18" customHeight="1" x14ac:dyDescent="0.3">
      <c r="A116" s="185" t="s">
        <v>126</v>
      </c>
      <c r="B116" s="185" t="s">
        <v>18</v>
      </c>
      <c r="C116" s="164">
        <f t="shared" ref="C116" si="105">SUM(D116:O116)</f>
        <v>117</v>
      </c>
      <c r="D116" s="165"/>
      <c r="E116" s="165"/>
      <c r="F116" s="165"/>
      <c r="G116" s="188">
        <v>13</v>
      </c>
      <c r="H116" s="165">
        <f>G116</f>
        <v>13</v>
      </c>
      <c r="I116" s="165">
        <f t="shared" ref="I116:O116" si="106">H116</f>
        <v>13</v>
      </c>
      <c r="J116" s="165">
        <f t="shared" si="106"/>
        <v>13</v>
      </c>
      <c r="K116" s="165">
        <f t="shared" si="106"/>
        <v>13</v>
      </c>
      <c r="L116" s="165">
        <f t="shared" si="106"/>
        <v>13</v>
      </c>
      <c r="M116" s="165">
        <f t="shared" si="106"/>
        <v>13</v>
      </c>
      <c r="N116" s="165">
        <f t="shared" si="106"/>
        <v>13</v>
      </c>
      <c r="O116" s="165">
        <f t="shared" si="106"/>
        <v>13</v>
      </c>
    </row>
    <row r="117" spans="1:17" s="70" customFormat="1" x14ac:dyDescent="0.3">
      <c r="A117" s="185" t="s">
        <v>127</v>
      </c>
      <c r="B117" s="185" t="s">
        <v>18</v>
      </c>
      <c r="C117" s="164">
        <f t="shared" si="103"/>
        <v>144</v>
      </c>
      <c r="D117" s="187">
        <v>12</v>
      </c>
      <c r="E117" s="165">
        <f>D117</f>
        <v>12</v>
      </c>
      <c r="F117" s="165">
        <f t="shared" ref="F117:O117" si="107">E117</f>
        <v>12</v>
      </c>
      <c r="G117" s="165">
        <f t="shared" si="107"/>
        <v>12</v>
      </c>
      <c r="H117" s="165">
        <f t="shared" si="107"/>
        <v>12</v>
      </c>
      <c r="I117" s="165">
        <f t="shared" si="107"/>
        <v>12</v>
      </c>
      <c r="J117" s="165">
        <f t="shared" si="107"/>
        <v>12</v>
      </c>
      <c r="K117" s="165">
        <f t="shared" si="107"/>
        <v>12</v>
      </c>
      <c r="L117" s="165">
        <f t="shared" si="107"/>
        <v>12</v>
      </c>
      <c r="M117" s="165">
        <f t="shared" si="107"/>
        <v>12</v>
      </c>
      <c r="N117" s="165">
        <f t="shared" si="107"/>
        <v>12</v>
      </c>
      <c r="O117" s="165">
        <f t="shared" si="107"/>
        <v>12</v>
      </c>
    </row>
    <row r="118" spans="1:17" s="70" customFormat="1" x14ac:dyDescent="0.3">
      <c r="A118" s="185" t="s">
        <v>133</v>
      </c>
      <c r="B118" s="185" t="s">
        <v>18</v>
      </c>
      <c r="C118" s="164">
        <f>SUM(D118:O118)</f>
        <v>120</v>
      </c>
      <c r="D118" s="187">
        <v>10</v>
      </c>
      <c r="E118" s="165">
        <f t="shared" ref="E118:O127" si="108">D118</f>
        <v>10</v>
      </c>
      <c r="F118" s="165">
        <f t="shared" si="108"/>
        <v>10</v>
      </c>
      <c r="G118" s="165">
        <f t="shared" si="108"/>
        <v>10</v>
      </c>
      <c r="H118" s="165">
        <f t="shared" si="108"/>
        <v>10</v>
      </c>
      <c r="I118" s="165">
        <f t="shared" si="108"/>
        <v>10</v>
      </c>
      <c r="J118" s="165">
        <f t="shared" si="108"/>
        <v>10</v>
      </c>
      <c r="K118" s="165">
        <f t="shared" si="108"/>
        <v>10</v>
      </c>
      <c r="L118" s="165">
        <f t="shared" si="108"/>
        <v>10</v>
      </c>
      <c r="M118" s="165">
        <f t="shared" si="108"/>
        <v>10</v>
      </c>
      <c r="N118" s="165">
        <f t="shared" si="108"/>
        <v>10</v>
      </c>
      <c r="O118" s="165">
        <f t="shared" si="108"/>
        <v>10</v>
      </c>
    </row>
    <row r="119" spans="1:17" s="70" customFormat="1" x14ac:dyDescent="0.3">
      <c r="A119" s="185" t="s">
        <v>128</v>
      </c>
      <c r="B119" s="185" t="s">
        <v>18</v>
      </c>
      <c r="C119" s="164">
        <f>SUM(D119:O119)</f>
        <v>96</v>
      </c>
      <c r="D119" s="187">
        <v>8</v>
      </c>
      <c r="E119" s="165">
        <f t="shared" si="108"/>
        <v>8</v>
      </c>
      <c r="F119" s="165">
        <f t="shared" si="108"/>
        <v>8</v>
      </c>
      <c r="G119" s="165">
        <f t="shared" si="108"/>
        <v>8</v>
      </c>
      <c r="H119" s="165">
        <f t="shared" si="108"/>
        <v>8</v>
      </c>
      <c r="I119" s="165">
        <f t="shared" si="108"/>
        <v>8</v>
      </c>
      <c r="J119" s="165">
        <f t="shared" si="108"/>
        <v>8</v>
      </c>
      <c r="K119" s="165">
        <f t="shared" si="108"/>
        <v>8</v>
      </c>
      <c r="L119" s="165">
        <f t="shared" si="108"/>
        <v>8</v>
      </c>
      <c r="M119" s="165">
        <f t="shared" si="108"/>
        <v>8</v>
      </c>
      <c r="N119" s="165">
        <f t="shared" si="108"/>
        <v>8</v>
      </c>
      <c r="O119" s="165">
        <f t="shared" si="108"/>
        <v>8</v>
      </c>
    </row>
    <row r="120" spans="1:17" s="70" customFormat="1" x14ac:dyDescent="0.3">
      <c r="A120" s="85" t="s">
        <v>122</v>
      </c>
      <c r="B120" s="12"/>
      <c r="C120" s="165"/>
      <c r="D120" s="165"/>
      <c r="E120" s="165"/>
      <c r="F120" s="165"/>
      <c r="G120" s="165"/>
      <c r="H120" s="165"/>
      <c r="I120" s="165"/>
      <c r="J120" s="165"/>
      <c r="K120" s="165"/>
      <c r="L120" s="165"/>
      <c r="M120" s="165"/>
      <c r="N120" s="165"/>
      <c r="O120" s="165"/>
    </row>
    <row r="121" spans="1:17" s="70" customFormat="1" x14ac:dyDescent="0.3">
      <c r="A121" s="185" t="s">
        <v>130</v>
      </c>
      <c r="B121" s="185" t="s">
        <v>18</v>
      </c>
      <c r="C121" s="164">
        <f t="shared" ref="C121" si="109">SUM(D121:O121)</f>
        <v>300</v>
      </c>
      <c r="D121" s="187">
        <v>25</v>
      </c>
      <c r="E121" s="165">
        <f t="shared" si="108"/>
        <v>25</v>
      </c>
      <c r="F121" s="165">
        <f t="shared" si="108"/>
        <v>25</v>
      </c>
      <c r="G121" s="165">
        <f t="shared" si="108"/>
        <v>25</v>
      </c>
      <c r="H121" s="165">
        <f t="shared" si="108"/>
        <v>25</v>
      </c>
      <c r="I121" s="165">
        <f t="shared" si="108"/>
        <v>25</v>
      </c>
      <c r="J121" s="165">
        <f t="shared" si="108"/>
        <v>25</v>
      </c>
      <c r="K121" s="165">
        <f t="shared" si="108"/>
        <v>25</v>
      </c>
      <c r="L121" s="165">
        <f t="shared" si="108"/>
        <v>25</v>
      </c>
      <c r="M121" s="165">
        <f t="shared" si="108"/>
        <v>25</v>
      </c>
      <c r="N121" s="165">
        <f t="shared" si="108"/>
        <v>25</v>
      </c>
      <c r="O121" s="165">
        <f t="shared" si="108"/>
        <v>25</v>
      </c>
    </row>
    <row r="122" spans="1:17" s="70" customFormat="1" x14ac:dyDescent="0.3">
      <c r="A122" s="185" t="s">
        <v>131</v>
      </c>
      <c r="B122" s="185" t="s">
        <v>18</v>
      </c>
      <c r="C122" s="164">
        <f t="shared" si="103"/>
        <v>240</v>
      </c>
      <c r="D122" s="187">
        <v>20</v>
      </c>
      <c r="E122" s="165">
        <f t="shared" si="108"/>
        <v>20</v>
      </c>
      <c r="F122" s="165">
        <f t="shared" si="108"/>
        <v>20</v>
      </c>
      <c r="G122" s="165">
        <f t="shared" si="108"/>
        <v>20</v>
      </c>
      <c r="H122" s="165">
        <f t="shared" si="108"/>
        <v>20</v>
      </c>
      <c r="I122" s="165">
        <f t="shared" si="108"/>
        <v>20</v>
      </c>
      <c r="J122" s="165">
        <f t="shared" si="108"/>
        <v>20</v>
      </c>
      <c r="K122" s="165">
        <f t="shared" si="108"/>
        <v>20</v>
      </c>
      <c r="L122" s="165">
        <f t="shared" si="108"/>
        <v>20</v>
      </c>
      <c r="M122" s="165">
        <f t="shared" si="108"/>
        <v>20</v>
      </c>
      <c r="N122" s="165">
        <f t="shared" si="108"/>
        <v>20</v>
      </c>
      <c r="O122" s="165">
        <f t="shared" si="108"/>
        <v>20</v>
      </c>
    </row>
    <row r="123" spans="1:17" s="70" customFormat="1" x14ac:dyDescent="0.3">
      <c r="A123" s="85" t="s">
        <v>132</v>
      </c>
      <c r="B123" s="12"/>
      <c r="C123" s="165"/>
      <c r="D123" s="165"/>
      <c r="E123" s="165"/>
      <c r="F123" s="165"/>
      <c r="G123" s="165"/>
      <c r="H123" s="165"/>
      <c r="I123" s="165"/>
      <c r="J123" s="165"/>
      <c r="K123" s="165"/>
      <c r="L123" s="165"/>
      <c r="M123" s="165"/>
      <c r="N123" s="165"/>
      <c r="O123" s="165"/>
    </row>
    <row r="124" spans="1:17" s="70" customFormat="1" x14ac:dyDescent="0.3">
      <c r="A124" s="185" t="s">
        <v>123</v>
      </c>
      <c r="B124" s="185" t="s">
        <v>18</v>
      </c>
      <c r="C124" s="164">
        <f>SUM(D124:O124)</f>
        <v>412.77600000000012</v>
      </c>
      <c r="D124" s="187">
        <v>34.398000000000003</v>
      </c>
      <c r="E124" s="165">
        <f t="shared" si="108"/>
        <v>34.398000000000003</v>
      </c>
      <c r="F124" s="165">
        <f t="shared" si="108"/>
        <v>34.398000000000003</v>
      </c>
      <c r="G124" s="165">
        <f t="shared" si="108"/>
        <v>34.398000000000003</v>
      </c>
      <c r="H124" s="165">
        <f t="shared" si="108"/>
        <v>34.398000000000003</v>
      </c>
      <c r="I124" s="165">
        <f t="shared" si="108"/>
        <v>34.398000000000003</v>
      </c>
      <c r="J124" s="165">
        <f t="shared" si="108"/>
        <v>34.398000000000003</v>
      </c>
      <c r="K124" s="165">
        <f t="shared" si="108"/>
        <v>34.398000000000003</v>
      </c>
      <c r="L124" s="165">
        <f t="shared" si="108"/>
        <v>34.398000000000003</v>
      </c>
      <c r="M124" s="165">
        <f t="shared" si="108"/>
        <v>34.398000000000003</v>
      </c>
      <c r="N124" s="165">
        <f t="shared" si="108"/>
        <v>34.398000000000003</v>
      </c>
      <c r="O124" s="165">
        <f t="shared" si="108"/>
        <v>34.398000000000003</v>
      </c>
    </row>
    <row r="125" spans="1:17" s="70" customFormat="1" x14ac:dyDescent="0.3">
      <c r="A125" s="185" t="s">
        <v>134</v>
      </c>
      <c r="B125" s="185" t="s">
        <v>18</v>
      </c>
      <c r="C125" s="164">
        <f t="shared" si="103"/>
        <v>216</v>
      </c>
      <c r="D125" s="187">
        <v>18</v>
      </c>
      <c r="E125" s="165">
        <f t="shared" si="108"/>
        <v>18</v>
      </c>
      <c r="F125" s="165">
        <f t="shared" si="108"/>
        <v>18</v>
      </c>
      <c r="G125" s="165">
        <f t="shared" si="108"/>
        <v>18</v>
      </c>
      <c r="H125" s="165">
        <f t="shared" si="108"/>
        <v>18</v>
      </c>
      <c r="I125" s="165">
        <f t="shared" si="108"/>
        <v>18</v>
      </c>
      <c r="J125" s="165">
        <f t="shared" si="108"/>
        <v>18</v>
      </c>
      <c r="K125" s="165">
        <f t="shared" si="108"/>
        <v>18</v>
      </c>
      <c r="L125" s="165">
        <f t="shared" si="108"/>
        <v>18</v>
      </c>
      <c r="M125" s="165">
        <f t="shared" si="108"/>
        <v>18</v>
      </c>
      <c r="N125" s="165">
        <f t="shared" si="108"/>
        <v>18</v>
      </c>
      <c r="O125" s="165">
        <f t="shared" si="108"/>
        <v>18</v>
      </c>
    </row>
    <row r="126" spans="1:17" s="70" customFormat="1" x14ac:dyDescent="0.3">
      <c r="A126" s="185" t="s">
        <v>135</v>
      </c>
      <c r="B126" s="185" t="s">
        <v>18</v>
      </c>
      <c r="C126" s="164">
        <f t="shared" si="103"/>
        <v>123.83280000000001</v>
      </c>
      <c r="D126" s="187">
        <v>10.3194</v>
      </c>
      <c r="E126" s="165">
        <f t="shared" si="108"/>
        <v>10.3194</v>
      </c>
      <c r="F126" s="165">
        <f t="shared" si="108"/>
        <v>10.3194</v>
      </c>
      <c r="G126" s="165">
        <f t="shared" si="108"/>
        <v>10.3194</v>
      </c>
      <c r="H126" s="165">
        <f t="shared" si="108"/>
        <v>10.3194</v>
      </c>
      <c r="I126" s="165">
        <f t="shared" si="108"/>
        <v>10.3194</v>
      </c>
      <c r="J126" s="165">
        <f t="shared" si="108"/>
        <v>10.3194</v>
      </c>
      <c r="K126" s="165">
        <f t="shared" si="108"/>
        <v>10.3194</v>
      </c>
      <c r="L126" s="165">
        <f t="shared" si="108"/>
        <v>10.3194</v>
      </c>
      <c r="M126" s="165">
        <f t="shared" si="108"/>
        <v>10.3194</v>
      </c>
      <c r="N126" s="165">
        <f t="shared" si="108"/>
        <v>10.3194</v>
      </c>
      <c r="O126" s="165">
        <f t="shared" si="108"/>
        <v>10.3194</v>
      </c>
    </row>
    <row r="127" spans="1:17" s="70" customFormat="1" x14ac:dyDescent="0.3">
      <c r="A127" s="185" t="s">
        <v>129</v>
      </c>
      <c r="B127" s="185" t="s">
        <v>18</v>
      </c>
      <c r="C127" s="164">
        <f t="shared" si="103"/>
        <v>0</v>
      </c>
      <c r="D127" s="187">
        <v>0</v>
      </c>
      <c r="E127" s="165">
        <f t="shared" si="108"/>
        <v>0</v>
      </c>
      <c r="F127" s="165">
        <f t="shared" si="108"/>
        <v>0</v>
      </c>
      <c r="G127" s="165">
        <f t="shared" si="108"/>
        <v>0</v>
      </c>
      <c r="H127" s="165">
        <f t="shared" si="108"/>
        <v>0</v>
      </c>
      <c r="I127" s="165">
        <f t="shared" si="108"/>
        <v>0</v>
      </c>
      <c r="J127" s="165">
        <f t="shared" si="108"/>
        <v>0</v>
      </c>
      <c r="K127" s="165">
        <f t="shared" si="108"/>
        <v>0</v>
      </c>
      <c r="L127" s="165">
        <f t="shared" si="108"/>
        <v>0</v>
      </c>
      <c r="M127" s="165">
        <f t="shared" si="108"/>
        <v>0</v>
      </c>
      <c r="N127" s="165">
        <f t="shared" si="108"/>
        <v>0</v>
      </c>
      <c r="O127" s="165">
        <f t="shared" si="108"/>
        <v>0</v>
      </c>
    </row>
    <row r="128" spans="1:17" s="13" customFormat="1" x14ac:dyDescent="0.3">
      <c r="A128" s="215" t="s">
        <v>170</v>
      </c>
      <c r="B128" s="74" t="s">
        <v>18</v>
      </c>
      <c r="C128" s="164">
        <f t="shared" si="103"/>
        <v>1722.174</v>
      </c>
      <c r="D128" s="216">
        <f t="shared" ref="D128:O128" si="110">IF(D56=0,0,SUM(D113:D127))</f>
        <v>152.7174</v>
      </c>
      <c r="E128" s="216">
        <f t="shared" si="110"/>
        <v>152.7174</v>
      </c>
      <c r="F128" s="216">
        <f t="shared" si="110"/>
        <v>165.7174</v>
      </c>
      <c r="G128" s="216">
        <f t="shared" si="110"/>
        <v>178.7174</v>
      </c>
      <c r="H128" s="216">
        <f t="shared" si="110"/>
        <v>178.7174</v>
      </c>
      <c r="I128" s="216">
        <f t="shared" si="110"/>
        <v>178.7174</v>
      </c>
      <c r="J128" s="216">
        <f t="shared" si="110"/>
        <v>178.7174</v>
      </c>
      <c r="K128" s="216">
        <f t="shared" si="110"/>
        <v>178.7174</v>
      </c>
      <c r="L128" s="216">
        <f t="shared" si="110"/>
        <v>178.7174</v>
      </c>
      <c r="M128" s="216">
        <f t="shared" si="110"/>
        <v>178.7174</v>
      </c>
      <c r="N128" s="216">
        <f t="shared" si="110"/>
        <v>0</v>
      </c>
      <c r="O128" s="216">
        <f t="shared" si="110"/>
        <v>0</v>
      </c>
      <c r="P128" s="70"/>
      <c r="Q128" s="70"/>
    </row>
    <row r="129" spans="1:15" s="70" customFormat="1" ht="9" customHeight="1" x14ac:dyDescent="0.3">
      <c r="C129" s="165"/>
      <c r="D129" s="165"/>
      <c r="E129" s="165"/>
      <c r="F129" s="165"/>
      <c r="G129" s="165"/>
      <c r="H129" s="165"/>
      <c r="I129" s="165"/>
      <c r="J129" s="165"/>
      <c r="K129" s="165"/>
      <c r="L129" s="165"/>
      <c r="M129" s="165"/>
      <c r="N129" s="165"/>
      <c r="O129" s="165"/>
    </row>
    <row r="130" spans="1:15" s="59" customFormat="1" ht="32.25" customHeight="1" x14ac:dyDescent="0.35">
      <c r="A130" s="60" t="s">
        <v>339</v>
      </c>
      <c r="B130" s="54"/>
      <c r="C130" s="61"/>
      <c r="D130" s="62"/>
      <c r="E130" s="62"/>
      <c r="F130" s="62"/>
      <c r="G130" s="62"/>
      <c r="H130" s="62"/>
      <c r="I130" s="62"/>
      <c r="J130" s="62"/>
      <c r="K130" s="62"/>
      <c r="L130" s="62"/>
      <c r="M130" s="62"/>
      <c r="N130" s="62"/>
      <c r="O130" s="62"/>
    </row>
    <row r="131" spans="1:15" s="70" customFormat="1" x14ac:dyDescent="0.3">
      <c r="A131" s="15" t="s">
        <v>348</v>
      </c>
      <c r="B131" s="12"/>
      <c r="C131" s="165"/>
      <c r="D131" s="165"/>
      <c r="E131" s="165"/>
      <c r="F131" s="165"/>
      <c r="G131" s="165"/>
      <c r="H131" s="165"/>
      <c r="I131" s="165"/>
      <c r="J131" s="165"/>
      <c r="K131" s="165"/>
      <c r="L131" s="165"/>
      <c r="M131" s="165"/>
      <c r="N131" s="165"/>
      <c r="O131" s="165"/>
    </row>
    <row r="132" spans="1:15" s="70" customFormat="1" x14ac:dyDescent="0.3">
      <c r="A132" s="85" t="s">
        <v>136</v>
      </c>
      <c r="B132" s="12"/>
      <c r="C132" s="165"/>
      <c r="D132" s="165"/>
      <c r="E132" s="165"/>
      <c r="F132" s="165"/>
      <c r="G132" s="165"/>
      <c r="H132" s="165"/>
      <c r="I132" s="165"/>
      <c r="J132" s="165"/>
      <c r="K132" s="165"/>
      <c r="L132" s="165"/>
      <c r="M132" s="165"/>
      <c r="N132" s="165"/>
      <c r="O132" s="165"/>
    </row>
    <row r="133" spans="1:15" s="70" customFormat="1" x14ac:dyDescent="0.3">
      <c r="A133" s="185" t="s">
        <v>137</v>
      </c>
      <c r="B133" s="185" t="s">
        <v>18</v>
      </c>
      <c r="C133" s="164">
        <f t="shared" ref="C133:C148" si="111">SUM(D133:O133)</f>
        <v>624</v>
      </c>
      <c r="D133" s="187">
        <v>52</v>
      </c>
      <c r="E133" s="165">
        <f>D133</f>
        <v>52</v>
      </c>
      <c r="F133" s="165">
        <f t="shared" ref="F133:O133" si="112">E133</f>
        <v>52</v>
      </c>
      <c r="G133" s="165">
        <f t="shared" si="112"/>
        <v>52</v>
      </c>
      <c r="H133" s="165">
        <f t="shared" si="112"/>
        <v>52</v>
      </c>
      <c r="I133" s="165">
        <f t="shared" si="112"/>
        <v>52</v>
      </c>
      <c r="J133" s="165">
        <f t="shared" si="112"/>
        <v>52</v>
      </c>
      <c r="K133" s="165">
        <f t="shared" si="112"/>
        <v>52</v>
      </c>
      <c r="L133" s="165">
        <f t="shared" si="112"/>
        <v>52</v>
      </c>
      <c r="M133" s="165">
        <f t="shared" si="112"/>
        <v>52</v>
      </c>
      <c r="N133" s="165">
        <f t="shared" si="112"/>
        <v>52</v>
      </c>
      <c r="O133" s="165">
        <f t="shared" si="112"/>
        <v>52</v>
      </c>
    </row>
    <row r="134" spans="1:15" s="70" customFormat="1" x14ac:dyDescent="0.3">
      <c r="A134" s="185" t="s">
        <v>138</v>
      </c>
      <c r="B134" s="185" t="s">
        <v>18</v>
      </c>
      <c r="C134" s="164">
        <f t="shared" ref="C134:C137" si="113">SUM(D134:O134)</f>
        <v>120</v>
      </c>
      <c r="D134" s="187">
        <v>10</v>
      </c>
      <c r="E134" s="165">
        <f t="shared" ref="E134:O147" si="114">D134</f>
        <v>10</v>
      </c>
      <c r="F134" s="165">
        <f t="shared" si="114"/>
        <v>10</v>
      </c>
      <c r="G134" s="165">
        <f t="shared" si="114"/>
        <v>10</v>
      </c>
      <c r="H134" s="165">
        <f t="shared" si="114"/>
        <v>10</v>
      </c>
      <c r="I134" s="165">
        <f t="shared" si="114"/>
        <v>10</v>
      </c>
      <c r="J134" s="165">
        <f t="shared" si="114"/>
        <v>10</v>
      </c>
      <c r="K134" s="165">
        <f t="shared" si="114"/>
        <v>10</v>
      </c>
      <c r="L134" s="165">
        <f t="shared" si="114"/>
        <v>10</v>
      </c>
      <c r="M134" s="165">
        <f t="shared" si="114"/>
        <v>10</v>
      </c>
      <c r="N134" s="165">
        <f t="shared" si="114"/>
        <v>10</v>
      </c>
      <c r="O134" s="165">
        <f t="shared" si="114"/>
        <v>10</v>
      </c>
    </row>
    <row r="135" spans="1:15" s="70" customFormat="1" ht="13.5" customHeight="1" x14ac:dyDescent="0.3">
      <c r="A135" s="185" t="s">
        <v>140</v>
      </c>
      <c r="B135" s="185" t="s">
        <v>18</v>
      </c>
      <c r="C135" s="164">
        <f t="shared" si="113"/>
        <v>144</v>
      </c>
      <c r="D135" s="187">
        <v>12</v>
      </c>
      <c r="E135" s="165">
        <f t="shared" si="114"/>
        <v>12</v>
      </c>
      <c r="F135" s="165">
        <f t="shared" si="114"/>
        <v>12</v>
      </c>
      <c r="G135" s="165">
        <f t="shared" si="114"/>
        <v>12</v>
      </c>
      <c r="H135" s="165">
        <f t="shared" si="114"/>
        <v>12</v>
      </c>
      <c r="I135" s="165">
        <f t="shared" si="114"/>
        <v>12</v>
      </c>
      <c r="J135" s="165">
        <f t="shared" si="114"/>
        <v>12</v>
      </c>
      <c r="K135" s="165">
        <f t="shared" si="114"/>
        <v>12</v>
      </c>
      <c r="L135" s="165">
        <f t="shared" si="114"/>
        <v>12</v>
      </c>
      <c r="M135" s="165">
        <f t="shared" si="114"/>
        <v>12</v>
      </c>
      <c r="N135" s="165">
        <f t="shared" si="114"/>
        <v>12</v>
      </c>
      <c r="O135" s="165">
        <f t="shared" si="114"/>
        <v>12</v>
      </c>
    </row>
    <row r="136" spans="1:15" s="70" customFormat="1" x14ac:dyDescent="0.3">
      <c r="A136" s="185" t="s">
        <v>139</v>
      </c>
      <c r="B136" s="185" t="s">
        <v>18</v>
      </c>
      <c r="C136" s="164">
        <f t="shared" ref="C136" si="115">SUM(D136:O136)</f>
        <v>60</v>
      </c>
      <c r="D136" s="187">
        <v>5</v>
      </c>
      <c r="E136" s="165">
        <f t="shared" si="114"/>
        <v>5</v>
      </c>
      <c r="F136" s="165">
        <f t="shared" si="114"/>
        <v>5</v>
      </c>
      <c r="G136" s="165">
        <f t="shared" si="114"/>
        <v>5</v>
      </c>
      <c r="H136" s="165">
        <f t="shared" si="114"/>
        <v>5</v>
      </c>
      <c r="I136" s="165">
        <f t="shared" si="114"/>
        <v>5</v>
      </c>
      <c r="J136" s="165">
        <f t="shared" si="114"/>
        <v>5</v>
      </c>
      <c r="K136" s="165">
        <f t="shared" si="114"/>
        <v>5</v>
      </c>
      <c r="L136" s="165">
        <f t="shared" si="114"/>
        <v>5</v>
      </c>
      <c r="M136" s="165">
        <f t="shared" si="114"/>
        <v>5</v>
      </c>
      <c r="N136" s="165">
        <f t="shared" si="114"/>
        <v>5</v>
      </c>
      <c r="O136" s="165">
        <f t="shared" si="114"/>
        <v>5</v>
      </c>
    </row>
    <row r="137" spans="1:15" s="70" customFormat="1" x14ac:dyDescent="0.3">
      <c r="A137" s="185" t="s">
        <v>147</v>
      </c>
      <c r="B137" s="185" t="s">
        <v>18</v>
      </c>
      <c r="C137" s="164">
        <f t="shared" si="113"/>
        <v>120</v>
      </c>
      <c r="D137" s="187">
        <v>10</v>
      </c>
      <c r="E137" s="165">
        <f t="shared" si="114"/>
        <v>10</v>
      </c>
      <c r="F137" s="165">
        <f t="shared" si="114"/>
        <v>10</v>
      </c>
      <c r="G137" s="165">
        <f t="shared" si="114"/>
        <v>10</v>
      </c>
      <c r="H137" s="165">
        <f t="shared" si="114"/>
        <v>10</v>
      </c>
      <c r="I137" s="165">
        <f t="shared" si="114"/>
        <v>10</v>
      </c>
      <c r="J137" s="165">
        <f t="shared" si="114"/>
        <v>10</v>
      </c>
      <c r="K137" s="165">
        <f t="shared" si="114"/>
        <v>10</v>
      </c>
      <c r="L137" s="165">
        <f t="shared" si="114"/>
        <v>10</v>
      </c>
      <c r="M137" s="165">
        <f t="shared" si="114"/>
        <v>10</v>
      </c>
      <c r="N137" s="165">
        <f t="shared" si="114"/>
        <v>10</v>
      </c>
      <c r="O137" s="165">
        <f t="shared" si="114"/>
        <v>10</v>
      </c>
    </row>
    <row r="138" spans="1:15" s="70" customFormat="1" x14ac:dyDescent="0.3">
      <c r="A138" s="85" t="s">
        <v>142</v>
      </c>
      <c r="B138" s="12"/>
      <c r="C138" s="165"/>
      <c r="D138" s="165"/>
      <c r="E138" s="165"/>
      <c r="F138" s="165"/>
      <c r="G138" s="165"/>
      <c r="H138" s="165"/>
      <c r="I138" s="165"/>
      <c r="J138" s="165"/>
      <c r="K138" s="165"/>
      <c r="L138" s="165"/>
      <c r="M138" s="165"/>
      <c r="N138" s="165"/>
      <c r="O138" s="165"/>
    </row>
    <row r="139" spans="1:15" s="70" customFormat="1" x14ac:dyDescent="0.3">
      <c r="A139" s="185" t="s">
        <v>141</v>
      </c>
      <c r="B139" s="185" t="s">
        <v>18</v>
      </c>
      <c r="C139" s="164">
        <f t="shared" ref="C139:C140" si="116">SUM(D139:O139)</f>
        <v>180</v>
      </c>
      <c r="D139" s="187">
        <v>15</v>
      </c>
      <c r="E139" s="165">
        <f t="shared" si="114"/>
        <v>15</v>
      </c>
      <c r="F139" s="165">
        <f t="shared" si="114"/>
        <v>15</v>
      </c>
      <c r="G139" s="165">
        <f t="shared" si="114"/>
        <v>15</v>
      </c>
      <c r="H139" s="165">
        <f t="shared" si="114"/>
        <v>15</v>
      </c>
      <c r="I139" s="165">
        <f t="shared" si="114"/>
        <v>15</v>
      </c>
      <c r="J139" s="165">
        <f t="shared" si="114"/>
        <v>15</v>
      </c>
      <c r="K139" s="165">
        <f t="shared" si="114"/>
        <v>15</v>
      </c>
      <c r="L139" s="165">
        <f t="shared" si="114"/>
        <v>15</v>
      </c>
      <c r="M139" s="165">
        <f t="shared" si="114"/>
        <v>15</v>
      </c>
      <c r="N139" s="165">
        <f t="shared" si="114"/>
        <v>15</v>
      </c>
      <c r="O139" s="165">
        <f t="shared" si="114"/>
        <v>15</v>
      </c>
    </row>
    <row r="140" spans="1:15" s="70" customFormat="1" x14ac:dyDescent="0.3">
      <c r="A140" s="185" t="s">
        <v>143</v>
      </c>
      <c r="B140" s="185" t="s">
        <v>18</v>
      </c>
      <c r="C140" s="164">
        <f t="shared" si="116"/>
        <v>108</v>
      </c>
      <c r="D140" s="187">
        <v>9</v>
      </c>
      <c r="E140" s="165">
        <f t="shared" si="114"/>
        <v>9</v>
      </c>
      <c r="F140" s="165">
        <f t="shared" si="114"/>
        <v>9</v>
      </c>
      <c r="G140" s="165">
        <f t="shared" si="114"/>
        <v>9</v>
      </c>
      <c r="H140" s="165">
        <f t="shared" si="114"/>
        <v>9</v>
      </c>
      <c r="I140" s="165">
        <f t="shared" si="114"/>
        <v>9</v>
      </c>
      <c r="J140" s="165">
        <f t="shared" si="114"/>
        <v>9</v>
      </c>
      <c r="K140" s="165">
        <f t="shared" si="114"/>
        <v>9</v>
      </c>
      <c r="L140" s="165">
        <f t="shared" si="114"/>
        <v>9</v>
      </c>
      <c r="M140" s="165">
        <f t="shared" si="114"/>
        <v>9</v>
      </c>
      <c r="N140" s="165">
        <f t="shared" si="114"/>
        <v>9</v>
      </c>
      <c r="O140" s="165">
        <f t="shared" si="114"/>
        <v>9</v>
      </c>
    </row>
    <row r="141" spans="1:15" s="70" customFormat="1" x14ac:dyDescent="0.3">
      <c r="A141" s="85" t="s">
        <v>146</v>
      </c>
      <c r="B141" s="12"/>
      <c r="C141" s="165"/>
      <c r="D141" s="165"/>
      <c r="E141" s="165"/>
      <c r="F141" s="165"/>
      <c r="G141" s="165"/>
      <c r="H141" s="165"/>
      <c r="I141" s="165"/>
      <c r="J141" s="165"/>
      <c r="K141" s="165"/>
      <c r="L141" s="165"/>
      <c r="M141" s="165"/>
      <c r="N141" s="165"/>
      <c r="O141" s="165"/>
    </row>
    <row r="142" spans="1:15" s="70" customFormat="1" x14ac:dyDescent="0.3">
      <c r="A142" s="185" t="s">
        <v>144</v>
      </c>
      <c r="B142" s="185" t="s">
        <v>18</v>
      </c>
      <c r="C142" s="164">
        <f t="shared" ref="C142:C143" si="117">SUM(D142:O142)</f>
        <v>240</v>
      </c>
      <c r="D142" s="187">
        <v>20</v>
      </c>
      <c r="E142" s="165">
        <f t="shared" ref="E142:O142" si="118">D142</f>
        <v>20</v>
      </c>
      <c r="F142" s="165">
        <f t="shared" si="118"/>
        <v>20</v>
      </c>
      <c r="G142" s="165">
        <f t="shared" si="118"/>
        <v>20</v>
      </c>
      <c r="H142" s="165">
        <f t="shared" si="118"/>
        <v>20</v>
      </c>
      <c r="I142" s="165">
        <f t="shared" si="118"/>
        <v>20</v>
      </c>
      <c r="J142" s="165">
        <f t="shared" si="118"/>
        <v>20</v>
      </c>
      <c r="K142" s="165">
        <f t="shared" si="118"/>
        <v>20</v>
      </c>
      <c r="L142" s="165">
        <f t="shared" si="118"/>
        <v>20</v>
      </c>
      <c r="M142" s="165">
        <f t="shared" si="118"/>
        <v>20</v>
      </c>
      <c r="N142" s="165">
        <f t="shared" si="118"/>
        <v>20</v>
      </c>
      <c r="O142" s="165">
        <f t="shared" si="118"/>
        <v>20</v>
      </c>
    </row>
    <row r="143" spans="1:15" s="70" customFormat="1" x14ac:dyDescent="0.3">
      <c r="A143" s="185" t="s">
        <v>145</v>
      </c>
      <c r="B143" s="185" t="s">
        <v>18</v>
      </c>
      <c r="C143" s="164">
        <f t="shared" si="117"/>
        <v>72</v>
      </c>
      <c r="D143" s="187">
        <v>6</v>
      </c>
      <c r="E143" s="165">
        <f t="shared" ref="E143:O143" si="119">D143</f>
        <v>6</v>
      </c>
      <c r="F143" s="165">
        <f t="shared" si="119"/>
        <v>6</v>
      </c>
      <c r="G143" s="165">
        <f t="shared" si="119"/>
        <v>6</v>
      </c>
      <c r="H143" s="165">
        <f t="shared" si="119"/>
        <v>6</v>
      </c>
      <c r="I143" s="165">
        <f t="shared" si="119"/>
        <v>6</v>
      </c>
      <c r="J143" s="165">
        <f t="shared" si="119"/>
        <v>6</v>
      </c>
      <c r="K143" s="165">
        <f t="shared" si="119"/>
        <v>6</v>
      </c>
      <c r="L143" s="165">
        <f t="shared" si="119"/>
        <v>6</v>
      </c>
      <c r="M143" s="165">
        <f t="shared" si="119"/>
        <v>6</v>
      </c>
      <c r="N143" s="165">
        <f t="shared" si="119"/>
        <v>6</v>
      </c>
      <c r="O143" s="165">
        <f t="shared" si="119"/>
        <v>6</v>
      </c>
    </row>
    <row r="144" spans="1:15" s="70" customFormat="1" x14ac:dyDescent="0.3">
      <c r="A144" s="85" t="s">
        <v>41</v>
      </c>
      <c r="B144" s="12"/>
      <c r="C144" s="165"/>
      <c r="D144" s="165"/>
      <c r="E144" s="165"/>
      <c r="F144" s="165"/>
      <c r="G144" s="165"/>
      <c r="H144" s="165"/>
      <c r="I144" s="165"/>
      <c r="J144" s="165"/>
      <c r="K144" s="165"/>
      <c r="L144" s="165"/>
      <c r="M144" s="165"/>
      <c r="N144" s="165"/>
      <c r="O144" s="165"/>
    </row>
    <row r="145" spans="1:17" s="70" customFormat="1" x14ac:dyDescent="0.3">
      <c r="A145" s="185" t="s">
        <v>42</v>
      </c>
      <c r="B145" s="185" t="s">
        <v>18</v>
      </c>
      <c r="C145" s="164">
        <f t="shared" ref="C145:C147" si="120">SUM(D145:O145)</f>
        <v>2.4</v>
      </c>
      <c r="D145" s="187">
        <v>0.19999999999999998</v>
      </c>
      <c r="E145" s="165">
        <f t="shared" si="114"/>
        <v>0.19999999999999998</v>
      </c>
      <c r="F145" s="165">
        <f t="shared" si="114"/>
        <v>0.19999999999999998</v>
      </c>
      <c r="G145" s="165">
        <f t="shared" si="114"/>
        <v>0.19999999999999998</v>
      </c>
      <c r="H145" s="165">
        <f t="shared" si="114"/>
        <v>0.19999999999999998</v>
      </c>
      <c r="I145" s="165">
        <f t="shared" si="114"/>
        <v>0.19999999999999998</v>
      </c>
      <c r="J145" s="165">
        <f t="shared" si="114"/>
        <v>0.19999999999999998</v>
      </c>
      <c r="K145" s="165">
        <f t="shared" si="114"/>
        <v>0.19999999999999998</v>
      </c>
      <c r="L145" s="165">
        <f t="shared" si="114"/>
        <v>0.19999999999999998</v>
      </c>
      <c r="M145" s="165">
        <f t="shared" si="114"/>
        <v>0.19999999999999998</v>
      </c>
      <c r="N145" s="165">
        <f t="shared" si="114"/>
        <v>0.19999999999999998</v>
      </c>
      <c r="O145" s="165">
        <f t="shared" si="114"/>
        <v>0.19999999999999998</v>
      </c>
    </row>
    <row r="146" spans="1:17" s="70" customFormat="1" x14ac:dyDescent="0.3">
      <c r="A146" s="185" t="s">
        <v>43</v>
      </c>
      <c r="B146" s="185" t="s">
        <v>18</v>
      </c>
      <c r="C146" s="164">
        <f t="shared" si="120"/>
        <v>0</v>
      </c>
      <c r="D146" s="187">
        <v>0</v>
      </c>
      <c r="E146" s="165">
        <f t="shared" si="114"/>
        <v>0</v>
      </c>
      <c r="F146" s="165">
        <f t="shared" si="114"/>
        <v>0</v>
      </c>
      <c r="G146" s="165">
        <f t="shared" si="114"/>
        <v>0</v>
      </c>
      <c r="H146" s="165">
        <f t="shared" si="114"/>
        <v>0</v>
      </c>
      <c r="I146" s="165">
        <f t="shared" si="114"/>
        <v>0</v>
      </c>
      <c r="J146" s="165">
        <f t="shared" si="114"/>
        <v>0</v>
      </c>
      <c r="K146" s="165">
        <f t="shared" si="114"/>
        <v>0</v>
      </c>
      <c r="L146" s="165">
        <f t="shared" si="114"/>
        <v>0</v>
      </c>
      <c r="M146" s="165">
        <f t="shared" si="114"/>
        <v>0</v>
      </c>
      <c r="N146" s="165">
        <f t="shared" si="114"/>
        <v>0</v>
      </c>
      <c r="O146" s="165">
        <f t="shared" si="114"/>
        <v>0</v>
      </c>
    </row>
    <row r="147" spans="1:17" s="70" customFormat="1" x14ac:dyDescent="0.3">
      <c r="A147" s="185" t="s">
        <v>44</v>
      </c>
      <c r="B147" s="185" t="s">
        <v>18</v>
      </c>
      <c r="C147" s="164">
        <f t="shared" si="120"/>
        <v>0</v>
      </c>
      <c r="D147" s="187">
        <v>0</v>
      </c>
      <c r="E147" s="165">
        <f t="shared" si="114"/>
        <v>0</v>
      </c>
      <c r="F147" s="165">
        <f t="shared" si="114"/>
        <v>0</v>
      </c>
      <c r="G147" s="165">
        <f t="shared" si="114"/>
        <v>0</v>
      </c>
      <c r="H147" s="165">
        <f t="shared" si="114"/>
        <v>0</v>
      </c>
      <c r="I147" s="165">
        <f t="shared" si="114"/>
        <v>0</v>
      </c>
      <c r="J147" s="165">
        <f t="shared" si="114"/>
        <v>0</v>
      </c>
      <c r="K147" s="165">
        <f t="shared" si="114"/>
        <v>0</v>
      </c>
      <c r="L147" s="165">
        <f t="shared" si="114"/>
        <v>0</v>
      </c>
      <c r="M147" s="165">
        <f t="shared" si="114"/>
        <v>0</v>
      </c>
      <c r="N147" s="165">
        <f t="shared" si="114"/>
        <v>0</v>
      </c>
      <c r="O147" s="165">
        <f t="shared" si="114"/>
        <v>0</v>
      </c>
    </row>
    <row r="148" spans="1:17" s="13" customFormat="1" x14ac:dyDescent="0.3">
      <c r="A148" s="215" t="str">
        <f>A130</f>
        <v>3c ii. Fixed Costs - general (non-people)</v>
      </c>
      <c r="B148" s="74" t="s">
        <v>18</v>
      </c>
      <c r="C148" s="164">
        <f t="shared" si="111"/>
        <v>1392.0000000000002</v>
      </c>
      <c r="D148" s="216">
        <f t="shared" ref="D148:O148" si="121">IF(D56=0,0,SUM(D133:D147))</f>
        <v>139.19999999999999</v>
      </c>
      <c r="E148" s="216">
        <f t="shared" si="121"/>
        <v>139.19999999999999</v>
      </c>
      <c r="F148" s="216">
        <f t="shared" si="121"/>
        <v>139.19999999999999</v>
      </c>
      <c r="G148" s="216">
        <f t="shared" si="121"/>
        <v>139.19999999999999</v>
      </c>
      <c r="H148" s="216">
        <f t="shared" si="121"/>
        <v>139.19999999999999</v>
      </c>
      <c r="I148" s="216">
        <f t="shared" si="121"/>
        <v>139.19999999999999</v>
      </c>
      <c r="J148" s="216">
        <f t="shared" si="121"/>
        <v>139.19999999999999</v>
      </c>
      <c r="K148" s="216">
        <f t="shared" si="121"/>
        <v>139.19999999999999</v>
      </c>
      <c r="L148" s="216">
        <f t="shared" si="121"/>
        <v>139.19999999999999</v>
      </c>
      <c r="M148" s="216">
        <f t="shared" si="121"/>
        <v>139.19999999999999</v>
      </c>
      <c r="N148" s="216">
        <f t="shared" si="121"/>
        <v>0</v>
      </c>
      <c r="O148" s="216">
        <f t="shared" si="121"/>
        <v>0</v>
      </c>
      <c r="P148" s="70"/>
      <c r="Q148" s="70"/>
    </row>
    <row r="149" spans="1:17" s="70" customFormat="1" x14ac:dyDescent="0.3">
      <c r="C149" s="165"/>
      <c r="D149" s="165"/>
      <c r="E149" s="165"/>
      <c r="F149" s="165"/>
      <c r="G149" s="165"/>
      <c r="H149" s="165"/>
      <c r="I149" s="165"/>
      <c r="J149" s="165"/>
      <c r="K149" s="165"/>
      <c r="L149" s="165"/>
      <c r="M149" s="165"/>
      <c r="N149" s="165"/>
      <c r="O149" s="165"/>
    </row>
    <row r="150" spans="1:17" s="130" customFormat="1" ht="25.5" customHeight="1" x14ac:dyDescent="0.35">
      <c r="A150" s="154" t="str">
        <f>A110</f>
        <v xml:space="preserve">3c.  Fixed Costs </v>
      </c>
      <c r="B150" s="130" t="s">
        <v>18</v>
      </c>
      <c r="C150" s="35">
        <f>SUM(D150:O150)</f>
        <v>3114.1739999999995</v>
      </c>
      <c r="D150" s="202">
        <f t="shared" ref="D150:O150" si="122">D128+D148</f>
        <v>291.91739999999999</v>
      </c>
      <c r="E150" s="202">
        <f t="shared" si="122"/>
        <v>291.91739999999999</v>
      </c>
      <c r="F150" s="202">
        <f t="shared" si="122"/>
        <v>304.91739999999999</v>
      </c>
      <c r="G150" s="202">
        <f t="shared" si="122"/>
        <v>317.91739999999999</v>
      </c>
      <c r="H150" s="202">
        <f t="shared" si="122"/>
        <v>317.91739999999999</v>
      </c>
      <c r="I150" s="202">
        <f t="shared" si="122"/>
        <v>317.91739999999999</v>
      </c>
      <c r="J150" s="202">
        <f t="shared" si="122"/>
        <v>317.91739999999999</v>
      </c>
      <c r="K150" s="202">
        <f t="shared" si="122"/>
        <v>317.91739999999999</v>
      </c>
      <c r="L150" s="202">
        <f t="shared" si="122"/>
        <v>317.91739999999999</v>
      </c>
      <c r="M150" s="202">
        <f t="shared" si="122"/>
        <v>317.91739999999999</v>
      </c>
      <c r="N150" s="202">
        <f t="shared" si="122"/>
        <v>0</v>
      </c>
      <c r="O150" s="202">
        <f t="shared" si="122"/>
        <v>0</v>
      </c>
    </row>
    <row r="151" spans="1:17" s="70" customFormat="1" ht="9.5" customHeight="1" x14ac:dyDescent="0.3">
      <c r="A151" s="166"/>
      <c r="B151" s="74"/>
      <c r="C151" s="164"/>
      <c r="D151" s="164"/>
      <c r="E151" s="164"/>
      <c r="F151" s="164"/>
      <c r="G151" s="164"/>
      <c r="H151" s="164"/>
      <c r="I151" s="164"/>
      <c r="J151" s="164"/>
      <c r="K151" s="164"/>
      <c r="L151" s="164"/>
      <c r="M151" s="164"/>
      <c r="N151" s="164"/>
      <c r="O151" s="164"/>
    </row>
    <row r="152" spans="1:17" s="59" customFormat="1" ht="32.25" customHeight="1" x14ac:dyDescent="0.35">
      <c r="A152" s="31" t="s">
        <v>209</v>
      </c>
      <c r="B152" s="54"/>
      <c r="C152" s="61"/>
      <c r="D152" s="62"/>
      <c r="E152" s="62"/>
      <c r="F152" s="62"/>
      <c r="G152" s="62"/>
      <c r="H152" s="62"/>
      <c r="I152" s="62"/>
      <c r="J152" s="62"/>
      <c r="K152" s="62"/>
      <c r="L152" s="62"/>
      <c r="M152" s="62"/>
      <c r="N152" s="62"/>
      <c r="O152" s="62"/>
    </row>
    <row r="153" spans="1:17" s="70" customFormat="1" x14ac:dyDescent="0.3">
      <c r="A153" s="70" t="str">
        <f>A95</f>
        <v>3a i.  Cost of purchasing ABC units ex-factory</v>
      </c>
      <c r="B153" s="70" t="str">
        <f>B95</f>
        <v>US$ 000 Real</v>
      </c>
      <c r="C153" s="164">
        <f t="shared" ref="C153:C156" si="123">SUM(D153:O153)</f>
        <v>15590.092959201191</v>
      </c>
      <c r="D153" s="165">
        <f t="shared" ref="D153:O153" si="124">D95</f>
        <v>1049.7260273972602</v>
      </c>
      <c r="E153" s="165">
        <f t="shared" si="124"/>
        <v>1012.1117808219178</v>
      </c>
      <c r="F153" s="165">
        <f t="shared" si="124"/>
        <v>1094.1350421917809</v>
      </c>
      <c r="G153" s="165">
        <f t="shared" si="124"/>
        <v>1271.2387671967124</v>
      </c>
      <c r="H153" s="165">
        <f t="shared" si="124"/>
        <v>1521.2818835894557</v>
      </c>
      <c r="I153" s="165">
        <f t="shared" si="124"/>
        <v>1823.4391790972199</v>
      </c>
      <c r="J153" s="165">
        <f t="shared" si="124"/>
        <v>1976.8874870560949</v>
      </c>
      <c r="K153" s="165">
        <f t="shared" si="124"/>
        <v>1983.6266147866311</v>
      </c>
      <c r="L153" s="165">
        <f t="shared" si="124"/>
        <v>2002.2727049656251</v>
      </c>
      <c r="M153" s="165">
        <f t="shared" si="124"/>
        <v>1855.3734720984926</v>
      </c>
      <c r="N153" s="165">
        <f t="shared" si="124"/>
        <v>0</v>
      </c>
      <c r="O153" s="165">
        <f t="shared" si="124"/>
        <v>0</v>
      </c>
    </row>
    <row r="154" spans="1:17" s="70" customFormat="1" x14ac:dyDescent="0.3">
      <c r="A154" s="70" t="str">
        <f>A101</f>
        <v>Debtors at end of year - in-country sales</v>
      </c>
      <c r="B154" s="70" t="str">
        <f>B101</f>
        <v>US$ 000 Real</v>
      </c>
      <c r="C154" s="164">
        <f t="shared" si="123"/>
        <v>3310.0436414999367</v>
      </c>
      <c r="D154" s="165">
        <f t="shared" ref="D154:O154" si="125">D101</f>
        <v>194.79452054794521</v>
      </c>
      <c r="E154" s="165">
        <f t="shared" si="125"/>
        <v>190.95719178082192</v>
      </c>
      <c r="F154" s="165">
        <f t="shared" si="125"/>
        <v>210.70017123287678</v>
      </c>
      <c r="G154" s="165">
        <f t="shared" si="125"/>
        <v>251.45660958904116</v>
      </c>
      <c r="H154" s="165">
        <f t="shared" si="125"/>
        <v>312.23006506849327</v>
      </c>
      <c r="I154" s="165">
        <f t="shared" si="125"/>
        <v>387.88101678082199</v>
      </c>
      <c r="J154" s="165">
        <f t="shared" si="125"/>
        <v>432.52684166095895</v>
      </c>
      <c r="K154" s="165">
        <f t="shared" si="125"/>
        <v>442.58875549982889</v>
      </c>
      <c r="L154" s="165">
        <f t="shared" si="125"/>
        <v>455.86641816482364</v>
      </c>
      <c r="M154" s="165">
        <f t="shared" si="125"/>
        <v>431.04205117432508</v>
      </c>
      <c r="N154" s="165">
        <f t="shared" si="125"/>
        <v>0</v>
      </c>
      <c r="O154" s="165">
        <f t="shared" si="125"/>
        <v>0</v>
      </c>
    </row>
    <row r="155" spans="1:17" s="70" customFormat="1" x14ac:dyDescent="0.3">
      <c r="A155" s="70" t="str">
        <f>A107</f>
        <v>3b iii. Freight &amp; Handling of ABC units to customers from ABC Depot</v>
      </c>
      <c r="B155" s="70" t="str">
        <f>B107</f>
        <v>US$ 000 Real</v>
      </c>
      <c r="C155" s="164">
        <f t="shared" si="123"/>
        <v>3420.3784295499345</v>
      </c>
      <c r="D155" s="165">
        <f t="shared" ref="D155:O155" si="126">D107</f>
        <v>186</v>
      </c>
      <c r="E155" s="165">
        <f t="shared" si="126"/>
        <v>196.46250000000003</v>
      </c>
      <c r="F155" s="165">
        <f t="shared" si="126"/>
        <v>216.10875000000004</v>
      </c>
      <c r="G155" s="165">
        <f t="shared" si="126"/>
        <v>256.51725000000005</v>
      </c>
      <c r="H155" s="165">
        <f t="shared" si="126"/>
        <v>317.61592500000012</v>
      </c>
      <c r="I155" s="165">
        <f t="shared" si="126"/>
        <v>394.49181750000008</v>
      </c>
      <c r="J155" s="165">
        <f t="shared" si="126"/>
        <v>442.96066237500008</v>
      </c>
      <c r="K155" s="165">
        <f t="shared" si="126"/>
        <v>456.24948224625007</v>
      </c>
      <c r="L155" s="165">
        <f t="shared" si="126"/>
        <v>469.93696671363762</v>
      </c>
      <c r="M155" s="165">
        <f t="shared" si="126"/>
        <v>484.03507571504673</v>
      </c>
      <c r="N155" s="165">
        <f t="shared" si="126"/>
        <v>0</v>
      </c>
      <c r="O155" s="165">
        <f t="shared" si="126"/>
        <v>0</v>
      </c>
    </row>
    <row r="156" spans="1:17" s="70" customFormat="1" x14ac:dyDescent="0.3">
      <c r="A156" s="70" t="str">
        <f>A128</f>
        <v>3c i. Fixed Costs - People</v>
      </c>
      <c r="B156" s="70" t="str">
        <f>B128</f>
        <v>US$ 000 Real</v>
      </c>
      <c r="C156" s="164">
        <f t="shared" si="123"/>
        <v>1722.174</v>
      </c>
      <c r="D156" s="165">
        <f t="shared" ref="D156:O156" si="127">D128</f>
        <v>152.7174</v>
      </c>
      <c r="E156" s="165">
        <f t="shared" si="127"/>
        <v>152.7174</v>
      </c>
      <c r="F156" s="165">
        <f t="shared" si="127"/>
        <v>165.7174</v>
      </c>
      <c r="G156" s="165">
        <f t="shared" si="127"/>
        <v>178.7174</v>
      </c>
      <c r="H156" s="165">
        <f t="shared" si="127"/>
        <v>178.7174</v>
      </c>
      <c r="I156" s="165">
        <f t="shared" si="127"/>
        <v>178.7174</v>
      </c>
      <c r="J156" s="165">
        <f t="shared" si="127"/>
        <v>178.7174</v>
      </c>
      <c r="K156" s="165">
        <f t="shared" si="127"/>
        <v>178.7174</v>
      </c>
      <c r="L156" s="165">
        <f t="shared" si="127"/>
        <v>178.7174</v>
      </c>
      <c r="M156" s="165">
        <f t="shared" si="127"/>
        <v>178.7174</v>
      </c>
      <c r="N156" s="165">
        <f t="shared" si="127"/>
        <v>0</v>
      </c>
      <c r="O156" s="165">
        <f t="shared" si="127"/>
        <v>0</v>
      </c>
    </row>
    <row r="157" spans="1:17" s="70" customFormat="1" x14ac:dyDescent="0.3">
      <c r="A157" s="70" t="str">
        <f>A148</f>
        <v>3c ii. Fixed Costs - general (non-people)</v>
      </c>
      <c r="B157" s="70" t="str">
        <f>B148</f>
        <v>US$ 000 Real</v>
      </c>
      <c r="C157" s="164">
        <f t="shared" ref="C157" si="128">SUM(D157:O157)</f>
        <v>1392.0000000000002</v>
      </c>
      <c r="D157" s="165">
        <f t="shared" ref="D157:O157" si="129">D148</f>
        <v>139.19999999999999</v>
      </c>
      <c r="E157" s="165">
        <f t="shared" si="129"/>
        <v>139.19999999999999</v>
      </c>
      <c r="F157" s="165">
        <f t="shared" si="129"/>
        <v>139.19999999999999</v>
      </c>
      <c r="G157" s="165">
        <f t="shared" si="129"/>
        <v>139.19999999999999</v>
      </c>
      <c r="H157" s="165">
        <f t="shared" si="129"/>
        <v>139.19999999999999</v>
      </c>
      <c r="I157" s="165">
        <f t="shared" si="129"/>
        <v>139.19999999999999</v>
      </c>
      <c r="J157" s="165">
        <f t="shared" si="129"/>
        <v>139.19999999999999</v>
      </c>
      <c r="K157" s="165">
        <f t="shared" si="129"/>
        <v>139.19999999999999</v>
      </c>
      <c r="L157" s="165">
        <f t="shared" si="129"/>
        <v>139.19999999999999</v>
      </c>
      <c r="M157" s="165">
        <f t="shared" si="129"/>
        <v>139.19999999999999</v>
      </c>
      <c r="N157" s="165">
        <f t="shared" si="129"/>
        <v>0</v>
      </c>
      <c r="O157" s="165">
        <f t="shared" si="129"/>
        <v>0</v>
      </c>
    </row>
    <row r="158" spans="1:17" s="19" customFormat="1" ht="25.5" customHeight="1" x14ac:dyDescent="0.35">
      <c r="A158" s="148" t="str">
        <f>A152</f>
        <v>3c.  Total Operating 'Expenses'</v>
      </c>
      <c r="B158" s="19" t="s">
        <v>18</v>
      </c>
      <c r="C158" s="73">
        <f>SUM(D158:O158)</f>
        <v>25434.689030251066</v>
      </c>
      <c r="D158" s="200">
        <f t="shared" ref="D158:O158" si="130">SUM(D153:D157)</f>
        <v>1722.4379479452055</v>
      </c>
      <c r="E158" s="200">
        <f t="shared" si="130"/>
        <v>1691.4488726027398</v>
      </c>
      <c r="F158" s="200">
        <f t="shared" si="130"/>
        <v>1825.8613634246578</v>
      </c>
      <c r="G158" s="200">
        <f t="shared" si="130"/>
        <v>2097.1300267857537</v>
      </c>
      <c r="H158" s="200">
        <f t="shared" si="130"/>
        <v>2469.0452736579491</v>
      </c>
      <c r="I158" s="200">
        <f t="shared" si="130"/>
        <v>2923.729413378042</v>
      </c>
      <c r="J158" s="200">
        <f t="shared" si="130"/>
        <v>3170.2923910920535</v>
      </c>
      <c r="K158" s="200">
        <f t="shared" si="130"/>
        <v>3200.3822525327096</v>
      </c>
      <c r="L158" s="200">
        <f t="shared" si="130"/>
        <v>3245.9934898440861</v>
      </c>
      <c r="M158" s="200">
        <f t="shared" si="130"/>
        <v>3088.3679989878642</v>
      </c>
      <c r="N158" s="200">
        <f t="shared" si="130"/>
        <v>0</v>
      </c>
      <c r="O158" s="200">
        <f t="shared" si="130"/>
        <v>0</v>
      </c>
    </row>
    <row r="159" spans="1:17" s="75" customFormat="1" ht="12" customHeight="1" x14ac:dyDescent="0.35">
      <c r="A159" s="172"/>
      <c r="C159" s="168"/>
      <c r="D159" s="168"/>
      <c r="E159" s="168"/>
      <c r="F159" s="168"/>
      <c r="G159" s="168"/>
      <c r="H159" s="168"/>
      <c r="I159" s="168"/>
      <c r="J159" s="168"/>
      <c r="K159" s="168"/>
      <c r="L159" s="168"/>
      <c r="M159" s="168"/>
      <c r="N159" s="168"/>
      <c r="O159" s="168"/>
    </row>
    <row r="160" spans="1:17" s="59" customFormat="1" ht="32.25" customHeight="1" x14ac:dyDescent="0.35">
      <c r="A160" s="60" t="s">
        <v>204</v>
      </c>
      <c r="B160" s="54"/>
      <c r="C160" s="61"/>
      <c r="D160" s="62"/>
      <c r="E160" s="62"/>
      <c r="F160" s="62"/>
      <c r="G160" s="62"/>
      <c r="H160" s="62"/>
      <c r="I160" s="62"/>
      <c r="J160" s="62"/>
      <c r="K160" s="62"/>
      <c r="L160" s="62"/>
      <c r="M160" s="62"/>
      <c r="N160" s="62"/>
      <c r="O160" s="62"/>
    </row>
    <row r="161" spans="1:15" s="70" customFormat="1" x14ac:dyDescent="0.3">
      <c r="A161" s="15" t="s">
        <v>349</v>
      </c>
      <c r="B161" s="12"/>
      <c r="C161" s="165"/>
      <c r="D161" s="165"/>
      <c r="E161" s="165"/>
      <c r="F161" s="165"/>
      <c r="G161" s="165"/>
      <c r="H161" s="165"/>
      <c r="I161" s="165"/>
      <c r="J161" s="165"/>
      <c r="K161" s="165"/>
      <c r="L161" s="165"/>
      <c r="M161" s="165"/>
      <c r="N161" s="165"/>
      <c r="O161" s="165"/>
    </row>
    <row r="162" spans="1:15" s="19" customFormat="1" x14ac:dyDescent="0.35">
      <c r="A162" s="251" t="s">
        <v>203</v>
      </c>
      <c r="B162" s="248" t="s">
        <v>18</v>
      </c>
      <c r="C162" s="168"/>
      <c r="D162" s="249">
        <v>150</v>
      </c>
      <c r="E162" s="250">
        <f>D162</f>
        <v>150</v>
      </c>
      <c r="F162" s="250">
        <f>E162</f>
        <v>150</v>
      </c>
      <c r="G162" s="250">
        <f t="shared" ref="G162:O162" si="131">F162</f>
        <v>150</v>
      </c>
      <c r="H162" s="250">
        <f t="shared" si="131"/>
        <v>150</v>
      </c>
      <c r="I162" s="250">
        <f t="shared" si="131"/>
        <v>150</v>
      </c>
      <c r="J162" s="250">
        <f t="shared" si="131"/>
        <v>150</v>
      </c>
      <c r="K162" s="250">
        <f t="shared" si="131"/>
        <v>150</v>
      </c>
      <c r="L162" s="250">
        <f t="shared" si="131"/>
        <v>150</v>
      </c>
      <c r="M162" s="250">
        <f t="shared" si="131"/>
        <v>150</v>
      </c>
      <c r="N162" s="250">
        <f t="shared" si="131"/>
        <v>150</v>
      </c>
      <c r="O162" s="250">
        <f t="shared" si="131"/>
        <v>150</v>
      </c>
    </row>
    <row r="163" spans="1:15" s="64" customFormat="1" x14ac:dyDescent="0.35">
      <c r="A163" s="64" t="s">
        <v>207</v>
      </c>
      <c r="B163" s="64" t="s">
        <v>18</v>
      </c>
      <c r="C163" s="222"/>
      <c r="D163" s="99">
        <f t="shared" ref="D163:O163" si="132">IF(E56=0,0,D162)</f>
        <v>150</v>
      </c>
      <c r="E163" s="99">
        <f t="shared" si="132"/>
        <v>150</v>
      </c>
      <c r="F163" s="99">
        <f t="shared" si="132"/>
        <v>150</v>
      </c>
      <c r="G163" s="99">
        <f t="shared" si="132"/>
        <v>150</v>
      </c>
      <c r="H163" s="99">
        <f t="shared" si="132"/>
        <v>150</v>
      </c>
      <c r="I163" s="99">
        <f t="shared" si="132"/>
        <v>150</v>
      </c>
      <c r="J163" s="99">
        <f t="shared" si="132"/>
        <v>150</v>
      </c>
      <c r="K163" s="99">
        <f t="shared" si="132"/>
        <v>150</v>
      </c>
      <c r="L163" s="99">
        <f t="shared" si="132"/>
        <v>150</v>
      </c>
      <c r="M163" s="99">
        <f t="shared" si="132"/>
        <v>0</v>
      </c>
      <c r="N163" s="99">
        <f t="shared" si="132"/>
        <v>0</v>
      </c>
      <c r="O163" s="99">
        <f t="shared" si="132"/>
        <v>0</v>
      </c>
    </row>
    <row r="164" spans="1:15" s="225" customFormat="1" x14ac:dyDescent="0.3">
      <c r="A164" s="223" t="s">
        <v>206</v>
      </c>
      <c r="B164" s="69" t="s">
        <v>18</v>
      </c>
      <c r="C164" s="218">
        <f>SUM(D164:O164)</f>
        <v>0</v>
      </c>
      <c r="D164" s="224">
        <f>D163</f>
        <v>150</v>
      </c>
      <c r="E164" s="224">
        <f>E163-D163</f>
        <v>0</v>
      </c>
      <c r="F164" s="224">
        <f t="shared" ref="F164:O164" si="133">F163-E163</f>
        <v>0</v>
      </c>
      <c r="G164" s="224">
        <f t="shared" si="133"/>
        <v>0</v>
      </c>
      <c r="H164" s="224">
        <f t="shared" si="133"/>
        <v>0</v>
      </c>
      <c r="I164" s="224">
        <f t="shared" si="133"/>
        <v>0</v>
      </c>
      <c r="J164" s="224">
        <f t="shared" si="133"/>
        <v>0</v>
      </c>
      <c r="K164" s="224">
        <f t="shared" si="133"/>
        <v>0</v>
      </c>
      <c r="L164" s="224">
        <f t="shared" si="133"/>
        <v>0</v>
      </c>
      <c r="M164" s="224">
        <f t="shared" si="133"/>
        <v>-150</v>
      </c>
      <c r="N164" s="224">
        <f t="shared" si="133"/>
        <v>0</v>
      </c>
      <c r="O164" s="224">
        <f t="shared" si="133"/>
        <v>0</v>
      </c>
    </row>
    <row r="165" spans="1:15" s="69" customFormat="1" ht="22.75" customHeight="1" x14ac:dyDescent="0.3">
      <c r="B165" s="64"/>
      <c r="C165" s="226"/>
      <c r="D165" s="226"/>
      <c r="E165" s="226"/>
      <c r="F165" s="226"/>
      <c r="G165" s="226"/>
      <c r="H165" s="226"/>
      <c r="I165" s="226"/>
      <c r="J165" s="226"/>
      <c r="K165" s="226"/>
      <c r="L165" s="226"/>
      <c r="M165" s="226"/>
      <c r="N165" s="226"/>
      <c r="O165" s="226"/>
    </row>
    <row r="166" spans="1:15" s="59" customFormat="1" ht="32.25" customHeight="1" x14ac:dyDescent="0.35">
      <c r="A166" s="60" t="s">
        <v>340</v>
      </c>
      <c r="B166" s="54"/>
      <c r="C166" s="61"/>
      <c r="D166" s="62"/>
      <c r="E166" s="62"/>
      <c r="F166" s="62"/>
      <c r="G166" s="62"/>
      <c r="H166" s="62"/>
      <c r="I166" s="62"/>
      <c r="J166" s="62"/>
      <c r="K166" s="62"/>
      <c r="L166" s="62"/>
      <c r="M166" s="62"/>
      <c r="N166" s="62"/>
      <c r="O166" s="62"/>
    </row>
    <row r="167" spans="1:15" x14ac:dyDescent="0.3">
      <c r="A167" s="15" t="s">
        <v>350</v>
      </c>
      <c r="B167" s="19"/>
    </row>
    <row r="168" spans="1:15" x14ac:dyDescent="0.3">
      <c r="A168" s="252" t="s">
        <v>165</v>
      </c>
      <c r="B168" s="185" t="s">
        <v>14</v>
      </c>
      <c r="C168" s="164"/>
      <c r="D168" s="188">
        <v>30</v>
      </c>
      <c r="E168" s="187">
        <f>D168</f>
        <v>30</v>
      </c>
      <c r="F168" s="187">
        <f t="shared" ref="F168:O168" si="134">E168</f>
        <v>30</v>
      </c>
      <c r="G168" s="187">
        <f t="shared" si="134"/>
        <v>30</v>
      </c>
      <c r="H168" s="187">
        <f t="shared" si="134"/>
        <v>30</v>
      </c>
      <c r="I168" s="187">
        <f t="shared" si="134"/>
        <v>30</v>
      </c>
      <c r="J168" s="187">
        <f t="shared" si="134"/>
        <v>30</v>
      </c>
      <c r="K168" s="187">
        <f t="shared" si="134"/>
        <v>30</v>
      </c>
      <c r="L168" s="187">
        <f t="shared" si="134"/>
        <v>30</v>
      </c>
      <c r="M168" s="187">
        <f t="shared" si="134"/>
        <v>30</v>
      </c>
      <c r="N168" s="187">
        <f t="shared" si="134"/>
        <v>30</v>
      </c>
      <c r="O168" s="187">
        <f t="shared" si="134"/>
        <v>30</v>
      </c>
    </row>
    <row r="169" spans="1:15" ht="13.5" thickBot="1" x14ac:dyDescent="0.35">
      <c r="A169" s="70" t="s">
        <v>24</v>
      </c>
      <c r="B169" s="12" t="s">
        <v>17</v>
      </c>
      <c r="C169" s="164"/>
      <c r="D169" s="169">
        <f>D158/365*D168</f>
        <v>141.57024229686621</v>
      </c>
      <c r="E169" s="169">
        <f t="shared" ref="E169:O169" si="135">E158/365*E168</f>
        <v>139.02319500844436</v>
      </c>
      <c r="F169" s="169">
        <f t="shared" si="135"/>
        <v>150.07079699380748</v>
      </c>
      <c r="G169" s="169">
        <f t="shared" si="135"/>
        <v>172.36685151663727</v>
      </c>
      <c r="H169" s="169">
        <f t="shared" si="135"/>
        <v>202.93522797188621</v>
      </c>
      <c r="I169" s="169">
        <f>I158/365*I168</f>
        <v>240.30652712696232</v>
      </c>
      <c r="J169" s="169">
        <f t="shared" si="135"/>
        <v>260.57197735003183</v>
      </c>
      <c r="K169" s="169">
        <f t="shared" si="135"/>
        <v>263.04511664652409</v>
      </c>
      <c r="L169" s="169">
        <f t="shared" si="135"/>
        <v>266.7939854666372</v>
      </c>
      <c r="M169" s="169">
        <f t="shared" si="135"/>
        <v>253.83846567023539</v>
      </c>
      <c r="N169" s="169">
        <f t="shared" si="135"/>
        <v>0</v>
      </c>
      <c r="O169" s="169">
        <f t="shared" si="135"/>
        <v>0</v>
      </c>
    </row>
    <row r="170" spans="1:15" s="225" customFormat="1" ht="13.5" thickBot="1" x14ac:dyDescent="0.35">
      <c r="A170" s="223" t="s">
        <v>208</v>
      </c>
      <c r="B170" s="69" t="s">
        <v>17</v>
      </c>
      <c r="C170" s="218">
        <f t="shared" ref="C170" si="136">SUM(D170:O170)</f>
        <v>0</v>
      </c>
      <c r="D170" s="227">
        <f>-D169</f>
        <v>-141.57024229686621</v>
      </c>
      <c r="E170" s="224">
        <f>D169-E169</f>
        <v>2.5470472884218509</v>
      </c>
      <c r="F170" s="224">
        <f t="shared" ref="F170:O170" si="137">E169-F169</f>
        <v>-11.047601985363116</v>
      </c>
      <c r="G170" s="224">
        <f t="shared" si="137"/>
        <v>-22.296054522829792</v>
      </c>
      <c r="H170" s="224">
        <f t="shared" si="137"/>
        <v>-30.568376455248938</v>
      </c>
      <c r="I170" s="224">
        <f t="shared" si="137"/>
        <v>-37.371299155076116</v>
      </c>
      <c r="J170" s="224">
        <f t="shared" si="137"/>
        <v>-20.265450223069507</v>
      </c>
      <c r="K170" s="224">
        <f t="shared" si="137"/>
        <v>-2.4731392964922634</v>
      </c>
      <c r="L170" s="224">
        <f t="shared" si="137"/>
        <v>-3.7488688201131026</v>
      </c>
      <c r="M170" s="224">
        <f t="shared" si="137"/>
        <v>12.955519796401802</v>
      </c>
      <c r="N170" s="224">
        <f t="shared" si="137"/>
        <v>253.83846567023539</v>
      </c>
      <c r="O170" s="224">
        <f t="shared" si="137"/>
        <v>0</v>
      </c>
    </row>
    <row r="171" spans="1:15" s="70" customFormat="1" x14ac:dyDescent="0.3">
      <c r="A171" s="170" t="s">
        <v>25</v>
      </c>
      <c r="B171" s="12"/>
      <c r="C171" s="171"/>
      <c r="D171" s="165"/>
      <c r="E171" s="165"/>
      <c r="F171" s="165"/>
      <c r="G171" s="165"/>
      <c r="H171" s="165"/>
      <c r="I171" s="165"/>
      <c r="J171" s="165"/>
      <c r="K171" s="165"/>
      <c r="L171" s="165"/>
      <c r="M171" s="165"/>
      <c r="N171" s="165"/>
    </row>
    <row r="172" spans="1:15" x14ac:dyDescent="0.3">
      <c r="A172" s="70"/>
      <c r="C172" s="164"/>
      <c r="D172" s="165"/>
      <c r="E172" s="165"/>
      <c r="F172" s="165"/>
      <c r="G172" s="165"/>
      <c r="H172" s="165"/>
      <c r="I172" s="165"/>
      <c r="J172" s="165"/>
      <c r="K172" s="165"/>
      <c r="L172" s="165"/>
      <c r="M172" s="165"/>
      <c r="N172" s="165"/>
      <c r="O172" s="165"/>
    </row>
    <row r="173" spans="1:15" s="19" customFormat="1" ht="27" customHeight="1" x14ac:dyDescent="0.35">
      <c r="A173" s="148" t="s">
        <v>374</v>
      </c>
      <c r="B173" s="19" t="s">
        <v>17</v>
      </c>
      <c r="C173" s="30">
        <f>SUM(D173:O173)</f>
        <v>25434.689030251062</v>
      </c>
      <c r="D173" s="198">
        <f>D158+D164+D170</f>
        <v>1730.8677056483393</v>
      </c>
      <c r="E173" s="198">
        <f t="shared" ref="E173:O173" si="138">E158+E164+E170</f>
        <v>1693.9959198911617</v>
      </c>
      <c r="F173" s="198">
        <f t="shared" si="138"/>
        <v>1814.8137614392947</v>
      </c>
      <c r="G173" s="198">
        <f t="shared" si="138"/>
        <v>2074.8339722629239</v>
      </c>
      <c r="H173" s="198">
        <f t="shared" si="138"/>
        <v>2438.4768972027</v>
      </c>
      <c r="I173" s="198">
        <f t="shared" si="138"/>
        <v>2886.3581142229659</v>
      </c>
      <c r="J173" s="198">
        <f t="shared" si="138"/>
        <v>3150.0269408689842</v>
      </c>
      <c r="K173" s="198">
        <f t="shared" si="138"/>
        <v>3197.9091132362173</v>
      </c>
      <c r="L173" s="198">
        <f t="shared" si="138"/>
        <v>3242.2446210239732</v>
      </c>
      <c r="M173" s="198">
        <f t="shared" si="138"/>
        <v>2951.3235187842661</v>
      </c>
      <c r="N173" s="198">
        <f t="shared" si="138"/>
        <v>253.83846567023539</v>
      </c>
      <c r="O173" s="198">
        <f t="shared" si="138"/>
        <v>0</v>
      </c>
    </row>
    <row r="174" spans="1:15" ht="50.25" customHeight="1" x14ac:dyDescent="0.3">
      <c r="A174" s="173" t="s">
        <v>210</v>
      </c>
      <c r="B174" s="174"/>
      <c r="C174" s="175" t="str">
        <f>IF(C158=C173,"OK","ERROR: Sales do not equal Production!")</f>
        <v>OK</v>
      </c>
    </row>
    <row r="176" spans="1:15" s="43" customFormat="1" ht="36" customHeight="1" x14ac:dyDescent="0.35">
      <c r="A176" s="111" t="s">
        <v>354</v>
      </c>
      <c r="B176" s="42"/>
      <c r="C176" s="145"/>
      <c r="D176" s="145"/>
      <c r="E176" s="145"/>
      <c r="F176" s="145"/>
      <c r="G176" s="145"/>
      <c r="H176" s="145"/>
      <c r="I176" s="145"/>
      <c r="J176" s="145"/>
      <c r="K176" s="145"/>
      <c r="L176" s="145"/>
      <c r="M176" s="145"/>
      <c r="N176" s="145"/>
      <c r="O176" s="145"/>
    </row>
    <row r="178" spans="1:15" s="70" customFormat="1" x14ac:dyDescent="0.3">
      <c r="A178" s="221" t="s">
        <v>151</v>
      </c>
      <c r="B178" s="75"/>
      <c r="C178" s="168"/>
      <c r="D178" s="165"/>
      <c r="E178" s="165"/>
      <c r="F178" s="165"/>
      <c r="G178" s="165"/>
      <c r="H178" s="165"/>
      <c r="I178" s="165"/>
      <c r="J178" s="165"/>
      <c r="K178" s="165"/>
      <c r="L178" s="165"/>
      <c r="M178" s="165"/>
      <c r="N178" s="165"/>
      <c r="O178" s="165"/>
    </row>
    <row r="179" spans="1:15" s="70" customFormat="1" x14ac:dyDescent="0.3">
      <c r="A179" s="245" t="str">
        <f>'Sales &amp; Revenue'!A47</f>
        <v>Product A' - selling price</v>
      </c>
      <c r="B179" s="245" t="str">
        <f>'Sales &amp; Revenue'!B47</f>
        <v xml:space="preserve">US$ Real/ unit </v>
      </c>
      <c r="C179" s="253">
        <f>'Sales &amp; Revenue'!D47</f>
        <v>38</v>
      </c>
      <c r="D179" s="254">
        <f>'Sales &amp; Revenue'!D47</f>
        <v>38</v>
      </c>
      <c r="E179" s="254">
        <f>'Sales &amp; Revenue'!E47</f>
        <v>37.24</v>
      </c>
      <c r="F179" s="254">
        <f>'Sales &amp; Revenue'!F47</f>
        <v>36.495200000000004</v>
      </c>
      <c r="G179" s="254">
        <f>'Sales &amp; Revenue'!G47</f>
        <v>35.765296000000006</v>
      </c>
      <c r="H179" s="254">
        <f>'Sales &amp; Revenue'!H47</f>
        <v>35.049990080000008</v>
      </c>
      <c r="I179" s="254">
        <f>'Sales &amp; Revenue'!I47</f>
        <v>34.348990278400009</v>
      </c>
      <c r="J179" s="254">
        <f>'Sales &amp; Revenue'!J47</f>
        <v>33.662010472832009</v>
      </c>
      <c r="K179" s="254">
        <f>'Sales &amp; Revenue'!K47</f>
        <v>32.988770263375365</v>
      </c>
      <c r="L179" s="254">
        <f>'Sales &amp; Revenue'!L47</f>
        <v>32.328994858107855</v>
      </c>
      <c r="M179" s="254">
        <f>'Sales &amp; Revenue'!M47</f>
        <v>31.682414960945696</v>
      </c>
      <c r="N179" s="254">
        <f>'Sales &amp; Revenue'!N47</f>
        <v>31.048766661726781</v>
      </c>
      <c r="O179" s="254">
        <f>'Sales &amp; Revenue'!O47</f>
        <v>30.427791328492244</v>
      </c>
    </row>
    <row r="180" spans="1:15" s="70" customFormat="1" x14ac:dyDescent="0.3">
      <c r="A180" s="70" t="s">
        <v>148</v>
      </c>
      <c r="B180" s="75" t="s">
        <v>149</v>
      </c>
      <c r="C180" s="168"/>
      <c r="D180" s="220">
        <f t="shared" ref="D180:O180" si="139">D87+D100+D106</f>
        <v>27.15</v>
      </c>
      <c r="E180" s="220">
        <f t="shared" si="139"/>
        <v>26.79</v>
      </c>
      <c r="F180" s="220">
        <f t="shared" si="139"/>
        <v>26.437199999999997</v>
      </c>
      <c r="G180" s="220">
        <f t="shared" si="139"/>
        <v>26.091456000000001</v>
      </c>
      <c r="H180" s="220">
        <f t="shared" si="139"/>
        <v>25.752626880000001</v>
      </c>
      <c r="I180" s="220">
        <f t="shared" si="139"/>
        <v>25.420574342400002</v>
      </c>
      <c r="J180" s="220">
        <f t="shared" si="139"/>
        <v>25.095162855551997</v>
      </c>
      <c r="K180" s="220">
        <f t="shared" si="139"/>
        <v>24.776259598440959</v>
      </c>
      <c r="L180" s="220">
        <f t="shared" si="139"/>
        <v>24.463734406472142</v>
      </c>
      <c r="M180" s="220">
        <f t="shared" si="139"/>
        <v>24.157459718342693</v>
      </c>
      <c r="N180" s="220">
        <f t="shared" si="139"/>
        <v>23.857310523975841</v>
      </c>
      <c r="O180" s="220">
        <f t="shared" si="139"/>
        <v>23.563164313496323</v>
      </c>
    </row>
    <row r="181" spans="1:15" s="70" customFormat="1" x14ac:dyDescent="0.3">
      <c r="A181" s="166" t="s">
        <v>150</v>
      </c>
      <c r="B181" s="75" t="s">
        <v>149</v>
      </c>
      <c r="C181" s="168"/>
      <c r="D181" s="255">
        <f>D179-D180</f>
        <v>10.850000000000001</v>
      </c>
      <c r="E181" s="255">
        <f t="shared" ref="E181:O181" si="140">E179-E180</f>
        <v>10.450000000000003</v>
      </c>
      <c r="F181" s="255">
        <f t="shared" si="140"/>
        <v>10.058000000000007</v>
      </c>
      <c r="G181" s="255">
        <f t="shared" si="140"/>
        <v>9.6738400000000055</v>
      </c>
      <c r="H181" s="255">
        <f t="shared" si="140"/>
        <v>9.2973632000000066</v>
      </c>
      <c r="I181" s="255">
        <f t="shared" si="140"/>
        <v>8.9284159360000075</v>
      </c>
      <c r="J181" s="255">
        <f t="shared" si="140"/>
        <v>8.5668476172800112</v>
      </c>
      <c r="K181" s="255">
        <f t="shared" si="140"/>
        <v>8.2125106649344062</v>
      </c>
      <c r="L181" s="255">
        <f t="shared" si="140"/>
        <v>7.865260451635713</v>
      </c>
      <c r="M181" s="255">
        <f t="shared" si="140"/>
        <v>7.5249552426030029</v>
      </c>
      <c r="N181" s="255">
        <f t="shared" si="140"/>
        <v>7.1914561377509401</v>
      </c>
      <c r="O181" s="255">
        <f t="shared" si="140"/>
        <v>6.8646270149959214</v>
      </c>
    </row>
    <row r="182" spans="1:15" s="70" customFormat="1" x14ac:dyDescent="0.3">
      <c r="B182" s="75"/>
      <c r="C182" s="168"/>
      <c r="D182" s="220"/>
      <c r="E182" s="220"/>
      <c r="F182" s="220"/>
      <c r="G182" s="220"/>
      <c r="H182" s="220"/>
      <c r="I182" s="220"/>
      <c r="J182" s="220"/>
      <c r="K182" s="220"/>
      <c r="L182" s="220"/>
      <c r="M182" s="220"/>
      <c r="N182" s="220"/>
      <c r="O182" s="220"/>
    </row>
    <row r="183" spans="1:15" s="70" customFormat="1" x14ac:dyDescent="0.3">
      <c r="A183" s="221" t="s">
        <v>152</v>
      </c>
      <c r="B183" s="75"/>
      <c r="C183" s="168"/>
      <c r="D183" s="165"/>
      <c r="E183" s="165"/>
      <c r="F183" s="165"/>
      <c r="G183" s="165"/>
      <c r="H183" s="165"/>
      <c r="I183" s="165"/>
      <c r="J183" s="165"/>
      <c r="K183" s="165"/>
      <c r="L183" s="165"/>
      <c r="M183" s="165"/>
      <c r="N183" s="165"/>
      <c r="O183" s="165"/>
    </row>
    <row r="184" spans="1:15" s="70" customFormat="1" x14ac:dyDescent="0.3">
      <c r="A184" s="245" t="str">
        <f>'Sales &amp; Revenue'!A48</f>
        <v>Product B' - selling price</v>
      </c>
      <c r="B184" s="245" t="str">
        <f>'Sales &amp; Revenue'!B48</f>
        <v xml:space="preserve">US$ Real/ unit </v>
      </c>
      <c r="C184" s="253">
        <f>'Sales &amp; Revenue'!D48</f>
        <v>48</v>
      </c>
      <c r="D184" s="254">
        <f>'Sales &amp; Revenue'!D48</f>
        <v>48</v>
      </c>
      <c r="E184" s="254">
        <f>'Sales &amp; Revenue'!E48</f>
        <v>47.04</v>
      </c>
      <c r="F184" s="254">
        <f>'Sales &amp; Revenue'!F48</f>
        <v>46.099199999999996</v>
      </c>
      <c r="G184" s="254">
        <f>'Sales &amp; Revenue'!G48</f>
        <v>45.177215999999994</v>
      </c>
      <c r="H184" s="254">
        <f>'Sales &amp; Revenue'!H48</f>
        <v>44.273671679999993</v>
      </c>
      <c r="I184" s="254">
        <f>'Sales &amp; Revenue'!I48</f>
        <v>43.388198246399995</v>
      </c>
      <c r="J184" s="254">
        <f>'Sales &amp; Revenue'!J48</f>
        <v>42.520434281471992</v>
      </c>
      <c r="K184" s="254">
        <f>'Sales &amp; Revenue'!K48</f>
        <v>41.670025595842553</v>
      </c>
      <c r="L184" s="254">
        <f>'Sales &amp; Revenue'!L48</f>
        <v>40.836625083925703</v>
      </c>
      <c r="M184" s="254">
        <f>'Sales &amp; Revenue'!M48</f>
        <v>40.019892582247188</v>
      </c>
      <c r="N184" s="254">
        <f>'Sales &amp; Revenue'!N48</f>
        <v>39.219494730602243</v>
      </c>
      <c r="O184" s="254">
        <f>'Sales &amp; Revenue'!O48</f>
        <v>38.435104835990195</v>
      </c>
    </row>
    <row r="185" spans="1:15" s="70" customFormat="1" x14ac:dyDescent="0.3">
      <c r="A185" s="70" t="s">
        <v>156</v>
      </c>
      <c r="B185" s="75" t="s">
        <v>149</v>
      </c>
      <c r="C185" s="168"/>
      <c r="D185" s="220">
        <f t="shared" ref="D185:O185" si="141">D88+D100+D106</f>
        <v>37.15</v>
      </c>
      <c r="E185" s="220">
        <f t="shared" si="141"/>
        <v>36.589999999999996</v>
      </c>
      <c r="F185" s="220">
        <f t="shared" si="141"/>
        <v>36.041199999999996</v>
      </c>
      <c r="G185" s="220">
        <f t="shared" si="141"/>
        <v>35.503375999999996</v>
      </c>
      <c r="H185" s="220">
        <f t="shared" si="141"/>
        <v>34.97630848</v>
      </c>
      <c r="I185" s="220">
        <f t="shared" si="141"/>
        <v>34.459782310400001</v>
      </c>
      <c r="J185" s="220">
        <f t="shared" si="141"/>
        <v>33.953586664192002</v>
      </c>
      <c r="K185" s="220">
        <f t="shared" si="141"/>
        <v>33.457514930908161</v>
      </c>
      <c r="L185" s="220">
        <f t="shared" si="141"/>
        <v>32.971364632289998</v>
      </c>
      <c r="M185" s="220">
        <f t="shared" si="141"/>
        <v>32.494937339644196</v>
      </c>
      <c r="N185" s="220">
        <f t="shared" si="141"/>
        <v>32.02803859285131</v>
      </c>
      <c r="O185" s="220">
        <f t="shared" si="141"/>
        <v>31.570477820994284</v>
      </c>
    </row>
    <row r="186" spans="1:15" s="70" customFormat="1" x14ac:dyDescent="0.3">
      <c r="A186" s="166" t="s">
        <v>157</v>
      </c>
      <c r="B186" s="75" t="s">
        <v>149</v>
      </c>
      <c r="C186" s="168"/>
      <c r="D186" s="255">
        <f>D184-D185</f>
        <v>10.850000000000001</v>
      </c>
      <c r="E186" s="255">
        <f t="shared" ref="E186" si="142">E184-E185</f>
        <v>10.450000000000003</v>
      </c>
      <c r="F186" s="255">
        <f t="shared" ref="F186" si="143">F184-F185</f>
        <v>10.058</v>
      </c>
      <c r="G186" s="255">
        <f t="shared" ref="G186" si="144">G184-G185</f>
        <v>9.6738399999999984</v>
      </c>
      <c r="H186" s="255">
        <f t="shared" ref="H186" si="145">H184-H185</f>
        <v>9.2973631999999924</v>
      </c>
      <c r="I186" s="255">
        <f t="shared" ref="I186" si="146">I184-I185</f>
        <v>8.9284159359999933</v>
      </c>
      <c r="J186" s="255">
        <f t="shared" ref="J186" si="147">J184-J185</f>
        <v>8.5668476172799899</v>
      </c>
      <c r="K186" s="255">
        <f t="shared" ref="K186" si="148">K184-K185</f>
        <v>8.212510664934392</v>
      </c>
      <c r="L186" s="255">
        <f t="shared" ref="L186" si="149">L184-L185</f>
        <v>7.8652604516357059</v>
      </c>
      <c r="M186" s="255">
        <f t="shared" ref="M186" si="150">M184-M185</f>
        <v>7.5249552426029922</v>
      </c>
      <c r="N186" s="255">
        <f t="shared" ref="N186" si="151">N184-N185</f>
        <v>7.191456137750933</v>
      </c>
      <c r="O186" s="255">
        <f t="shared" ref="O186" si="152">O184-O185</f>
        <v>6.8646270149959108</v>
      </c>
    </row>
    <row r="187" spans="1:15" s="70" customFormat="1" x14ac:dyDescent="0.3">
      <c r="B187" s="75"/>
      <c r="C187" s="168"/>
      <c r="D187" s="220"/>
      <c r="E187" s="220"/>
      <c r="F187" s="220"/>
      <c r="G187" s="220"/>
      <c r="H187" s="220"/>
      <c r="I187" s="220"/>
      <c r="J187" s="220"/>
      <c r="K187" s="220"/>
      <c r="L187" s="220"/>
      <c r="M187" s="220"/>
      <c r="N187" s="220"/>
      <c r="O187" s="220"/>
    </row>
    <row r="188" spans="1:15" s="70" customFormat="1" x14ac:dyDescent="0.3">
      <c r="A188" s="221" t="s">
        <v>158</v>
      </c>
      <c r="B188" s="75"/>
      <c r="C188" s="168"/>
      <c r="D188" s="165"/>
      <c r="E188" s="165"/>
      <c r="F188" s="165"/>
      <c r="G188" s="165"/>
      <c r="H188" s="165"/>
      <c r="I188" s="165"/>
      <c r="J188" s="165"/>
      <c r="K188" s="165"/>
      <c r="L188" s="165"/>
      <c r="M188" s="165"/>
      <c r="N188" s="165"/>
      <c r="O188" s="165"/>
    </row>
    <row r="189" spans="1:15" s="70" customFormat="1" x14ac:dyDescent="0.3">
      <c r="A189" s="245" t="str">
        <f>'Sales &amp; Revenue'!A49</f>
        <v>Product C' - selling price</v>
      </c>
      <c r="B189" s="245" t="str">
        <f>'Sales &amp; Revenue'!B49</f>
        <v xml:space="preserve">US$ Real/ unit </v>
      </c>
      <c r="C189" s="253">
        <f>'Sales &amp; Revenue'!D49</f>
        <v>58</v>
      </c>
      <c r="D189" s="254">
        <f>'Sales &amp; Revenue'!D49</f>
        <v>58</v>
      </c>
      <c r="E189" s="254">
        <f>'Sales &amp; Revenue'!E49</f>
        <v>56.839999999999996</v>
      </c>
      <c r="F189" s="254">
        <f>'Sales &amp; Revenue'!F49</f>
        <v>55.703199999999995</v>
      </c>
      <c r="G189" s="254">
        <f>'Sales &amp; Revenue'!G49</f>
        <v>54.589135999999996</v>
      </c>
      <c r="H189" s="254">
        <f>'Sales &amp; Revenue'!H49</f>
        <v>53.497353279999999</v>
      </c>
      <c r="I189" s="254">
        <f>'Sales &amp; Revenue'!I49</f>
        <v>52.427406214400001</v>
      </c>
      <c r="J189" s="254">
        <f>'Sales &amp; Revenue'!J49</f>
        <v>51.378858090111997</v>
      </c>
      <c r="K189" s="254">
        <f>'Sales &amp; Revenue'!K49</f>
        <v>50.351280928309755</v>
      </c>
      <c r="L189" s="254">
        <f>'Sales &amp; Revenue'!L49</f>
        <v>49.344255309743559</v>
      </c>
      <c r="M189" s="254">
        <f>'Sales &amp; Revenue'!M49</f>
        <v>48.35737020354869</v>
      </c>
      <c r="N189" s="254">
        <f>'Sales &amp; Revenue'!N49</f>
        <v>47.390222799477712</v>
      </c>
      <c r="O189" s="254">
        <f>'Sales &amp; Revenue'!O49</f>
        <v>46.442418343488157</v>
      </c>
    </row>
    <row r="190" spans="1:15" s="70" customFormat="1" x14ac:dyDescent="0.3">
      <c r="A190" s="70" t="s">
        <v>159</v>
      </c>
      <c r="B190" s="75" t="s">
        <v>149</v>
      </c>
      <c r="C190" s="168"/>
      <c r="D190" s="220">
        <f t="shared" ref="D190:O190" si="153">D89+D100+D106</f>
        <v>47.15</v>
      </c>
      <c r="E190" s="220">
        <f t="shared" si="153"/>
        <v>46.39</v>
      </c>
      <c r="F190" s="220">
        <f t="shared" si="153"/>
        <v>45.645200000000003</v>
      </c>
      <c r="G190" s="220">
        <f t="shared" si="153"/>
        <v>44.915296000000005</v>
      </c>
      <c r="H190" s="220">
        <f t="shared" si="153"/>
        <v>44.199990080000006</v>
      </c>
      <c r="I190" s="220">
        <f t="shared" si="153"/>
        <v>43.498990278400008</v>
      </c>
      <c r="J190" s="220">
        <f t="shared" si="153"/>
        <v>42.812010472832007</v>
      </c>
      <c r="K190" s="220">
        <f t="shared" si="153"/>
        <v>42.138770263375363</v>
      </c>
      <c r="L190" s="220">
        <f t="shared" si="153"/>
        <v>41.478994858107853</v>
      </c>
      <c r="M190" s="220">
        <f t="shared" si="153"/>
        <v>40.832414960945691</v>
      </c>
      <c r="N190" s="220">
        <f t="shared" si="153"/>
        <v>40.198766661726779</v>
      </c>
      <c r="O190" s="220">
        <f t="shared" si="153"/>
        <v>39.577791328492246</v>
      </c>
    </row>
    <row r="191" spans="1:15" s="70" customFormat="1" x14ac:dyDescent="0.3">
      <c r="A191" s="166" t="s">
        <v>160</v>
      </c>
      <c r="B191" s="75" t="s">
        <v>149</v>
      </c>
      <c r="C191" s="168"/>
      <c r="D191" s="255">
        <f>D189-D190</f>
        <v>10.850000000000001</v>
      </c>
      <c r="E191" s="255">
        <f t="shared" ref="E191" si="154">E189-E190</f>
        <v>10.449999999999996</v>
      </c>
      <c r="F191" s="255">
        <f t="shared" ref="F191" si="155">F189-F190</f>
        <v>10.057999999999993</v>
      </c>
      <c r="G191" s="255">
        <f t="shared" ref="G191" si="156">G189-G190</f>
        <v>9.6738399999999913</v>
      </c>
      <c r="H191" s="255">
        <f t="shared" ref="H191" si="157">H189-H190</f>
        <v>9.2973631999999924</v>
      </c>
      <c r="I191" s="255">
        <f t="shared" ref="I191" si="158">I189-I190</f>
        <v>8.9284159359999933</v>
      </c>
      <c r="J191" s="255">
        <f t="shared" ref="J191" si="159">J189-J190</f>
        <v>8.5668476172799899</v>
      </c>
      <c r="K191" s="255">
        <f t="shared" ref="K191" si="160">K189-K190</f>
        <v>8.212510664934392</v>
      </c>
      <c r="L191" s="255">
        <f t="shared" ref="L191" si="161">L189-L190</f>
        <v>7.8652604516357059</v>
      </c>
      <c r="M191" s="255">
        <f t="shared" ref="M191" si="162">M189-M190</f>
        <v>7.5249552426029993</v>
      </c>
      <c r="N191" s="255">
        <f t="shared" ref="N191" si="163">N189-N190</f>
        <v>7.191456137750933</v>
      </c>
      <c r="O191" s="255">
        <f t="shared" ref="O191" si="164">O189-O190</f>
        <v>6.8646270149959108</v>
      </c>
    </row>
    <row r="192" spans="1:15" s="70" customFormat="1" x14ac:dyDescent="0.3">
      <c r="B192" s="75"/>
      <c r="C192" s="168"/>
      <c r="D192" s="220"/>
      <c r="E192" s="220"/>
      <c r="F192" s="220"/>
      <c r="G192" s="220"/>
      <c r="H192" s="220"/>
      <c r="I192" s="220"/>
      <c r="J192" s="220"/>
      <c r="K192" s="220"/>
      <c r="L192" s="220"/>
      <c r="M192" s="220"/>
      <c r="N192" s="220"/>
      <c r="O192" s="220"/>
    </row>
    <row r="193" spans="1:15" s="70" customFormat="1" x14ac:dyDescent="0.3">
      <c r="A193" s="221" t="s">
        <v>161</v>
      </c>
      <c r="B193" s="75"/>
      <c r="C193" s="168"/>
      <c r="D193" s="220"/>
      <c r="E193" s="220"/>
      <c r="F193" s="220"/>
      <c r="G193" s="220"/>
      <c r="H193" s="220"/>
      <c r="I193" s="220"/>
      <c r="J193" s="220"/>
      <c r="K193" s="220"/>
      <c r="L193" s="220"/>
      <c r="M193" s="220"/>
      <c r="N193" s="220"/>
      <c r="O193" s="220"/>
    </row>
    <row r="194" spans="1:15" s="70" customFormat="1" x14ac:dyDescent="0.3">
      <c r="A194" s="245" t="str">
        <f>'Sales &amp; Revenue'!A54</f>
        <v>Revenue from ABC units</v>
      </c>
      <c r="B194" s="245" t="str">
        <f>'Sales &amp; Revenue'!B54</f>
        <v>US$ 000  Real</v>
      </c>
      <c r="C194" s="256">
        <f>'Sales &amp; Revenue'!D54</f>
        <v>1770</v>
      </c>
      <c r="D194" s="244">
        <f>'Sales &amp; Revenue'!D54</f>
        <v>1770</v>
      </c>
      <c r="E194" s="244">
        <f>'Sales &amp; Revenue'!E54</f>
        <v>1835.54</v>
      </c>
      <c r="F194" s="244">
        <f>'Sales &amp; Revenue'!F54</f>
        <v>1978.7121200000001</v>
      </c>
      <c r="G194" s="244">
        <f>'Sales &amp; Revenue'!G54</f>
        <v>2293.9390258400003</v>
      </c>
      <c r="H194" s="244">
        <f>'Sales &amp; Revenue'!H54</f>
        <v>2759.2283782817608</v>
      </c>
      <c r="I194" s="244">
        <f>'Sales &amp; Revenue'!I54</f>
        <v>3330.2531115073416</v>
      </c>
      <c r="J194" s="244">
        <f>'Sales &amp; Revenue'!J54</f>
        <v>3648.1741866301709</v>
      </c>
      <c r="K194" s="244">
        <f>'Sales &amp; Revenue'!K54</f>
        <v>3682.4670239844936</v>
      </c>
      <c r="L194" s="244">
        <f>'Sales &amp; Revenue'!L54</f>
        <v>3717.0822140099485</v>
      </c>
      <c r="M194" s="244">
        <f>'Sales &amp; Revenue'!M54</f>
        <v>3752.0227868216416</v>
      </c>
      <c r="N194" s="244">
        <f>'Sales &amp; Revenue'!N54</f>
        <v>0</v>
      </c>
      <c r="O194" s="244">
        <f>'Sales &amp; Revenue'!O54</f>
        <v>0</v>
      </c>
    </row>
    <row r="195" spans="1:15" s="70" customFormat="1" x14ac:dyDescent="0.3">
      <c r="A195" s="70" t="str">
        <f>A109</f>
        <v>3b.  Variable Costs</v>
      </c>
      <c r="B195" s="70" t="str">
        <f>B109</f>
        <v>US$ 000 Real</v>
      </c>
      <c r="C195" s="164">
        <f t="shared" ref="C195:C196" si="165">SUM(D195:O195)</f>
        <v>22320.515030251059</v>
      </c>
      <c r="D195" s="165">
        <f t="shared" ref="D195:O195" si="166">D109</f>
        <v>1430.5205479452054</v>
      </c>
      <c r="E195" s="165">
        <f t="shared" si="166"/>
        <v>1399.5314726027398</v>
      </c>
      <c r="F195" s="165">
        <f t="shared" si="166"/>
        <v>1520.9439634246578</v>
      </c>
      <c r="G195" s="165">
        <f t="shared" si="166"/>
        <v>1779.2126267857536</v>
      </c>
      <c r="H195" s="165">
        <f t="shared" si="166"/>
        <v>2151.1278736579493</v>
      </c>
      <c r="I195" s="165">
        <f t="shared" si="166"/>
        <v>2605.8120133780421</v>
      </c>
      <c r="J195" s="165">
        <f t="shared" si="166"/>
        <v>2852.3749910920537</v>
      </c>
      <c r="K195" s="165">
        <f t="shared" si="166"/>
        <v>2882.4648525327098</v>
      </c>
      <c r="L195" s="165">
        <f t="shared" si="166"/>
        <v>2928.0760898440863</v>
      </c>
      <c r="M195" s="165">
        <f t="shared" si="166"/>
        <v>2770.4505989878644</v>
      </c>
      <c r="N195" s="165">
        <f t="shared" si="166"/>
        <v>0</v>
      </c>
      <c r="O195" s="165">
        <f t="shared" si="166"/>
        <v>0</v>
      </c>
    </row>
    <row r="196" spans="1:15" s="70" customFormat="1" x14ac:dyDescent="0.3">
      <c r="A196" s="70" t="s">
        <v>161</v>
      </c>
      <c r="B196" s="70" t="s">
        <v>18</v>
      </c>
      <c r="C196" s="226">
        <f t="shared" si="165"/>
        <v>6446.9038168242951</v>
      </c>
      <c r="D196" s="228">
        <f>D194-D195</f>
        <v>339.47945205479459</v>
      </c>
      <c r="E196" s="228">
        <f t="shared" ref="E196:O196" si="167">E194-E195</f>
        <v>436.0085273972602</v>
      </c>
      <c r="F196" s="228">
        <f t="shared" si="167"/>
        <v>457.76815657534235</v>
      </c>
      <c r="G196" s="228">
        <f t="shared" si="167"/>
        <v>514.72639905424671</v>
      </c>
      <c r="H196" s="228">
        <f t="shared" si="167"/>
        <v>608.1005046238115</v>
      </c>
      <c r="I196" s="228">
        <f t="shared" si="167"/>
        <v>724.44109812929946</v>
      </c>
      <c r="J196" s="228">
        <f t="shared" si="167"/>
        <v>795.79919553811715</v>
      </c>
      <c r="K196" s="228">
        <f t="shared" si="167"/>
        <v>800.00217145178385</v>
      </c>
      <c r="L196" s="228">
        <f t="shared" si="167"/>
        <v>789.00612416586227</v>
      </c>
      <c r="M196" s="228">
        <f t="shared" si="167"/>
        <v>981.57218783377721</v>
      </c>
      <c r="N196" s="228">
        <f t="shared" si="167"/>
        <v>0</v>
      </c>
      <c r="O196" s="228">
        <f t="shared" si="167"/>
        <v>0</v>
      </c>
    </row>
    <row r="197" spans="1:15" s="70" customFormat="1" x14ac:dyDescent="0.3">
      <c r="B197" s="75"/>
      <c r="C197" s="222"/>
      <c r="D197" s="226"/>
      <c r="E197" s="226"/>
      <c r="F197" s="226"/>
      <c r="G197" s="226"/>
      <c r="H197" s="226"/>
      <c r="I197" s="226"/>
      <c r="J197" s="226"/>
      <c r="K197" s="226"/>
      <c r="L197" s="226"/>
      <c r="M197" s="226"/>
      <c r="N197" s="226"/>
      <c r="O197" s="226"/>
    </row>
    <row r="198" spans="1:15" s="70" customFormat="1" x14ac:dyDescent="0.3">
      <c r="A198" s="221" t="s">
        <v>162</v>
      </c>
      <c r="B198" s="75"/>
      <c r="C198" s="222"/>
      <c r="D198" s="226"/>
      <c r="E198" s="226"/>
      <c r="F198" s="226"/>
      <c r="G198" s="226"/>
      <c r="H198" s="226"/>
      <c r="I198" s="226"/>
      <c r="J198" s="226"/>
      <c r="K198" s="226"/>
      <c r="L198" s="226"/>
      <c r="M198" s="226"/>
      <c r="N198" s="226"/>
      <c r="O198" s="226"/>
    </row>
    <row r="199" spans="1:15" s="70" customFormat="1" x14ac:dyDescent="0.3">
      <c r="A199" s="70" t="str">
        <f>A150</f>
        <v xml:space="preserve">3c.  Fixed Costs </v>
      </c>
      <c r="B199" s="70" t="str">
        <f>B150</f>
        <v>US$ 000 Real</v>
      </c>
      <c r="C199" s="218">
        <f t="shared" ref="C199:C200" si="168">SUM(D199:O199)</f>
        <v>3114.1739999999995</v>
      </c>
      <c r="D199" s="226">
        <f t="shared" ref="D199:O199" si="169">D150</f>
        <v>291.91739999999999</v>
      </c>
      <c r="E199" s="226">
        <f t="shared" si="169"/>
        <v>291.91739999999999</v>
      </c>
      <c r="F199" s="226">
        <f t="shared" si="169"/>
        <v>304.91739999999999</v>
      </c>
      <c r="G199" s="226">
        <f t="shared" si="169"/>
        <v>317.91739999999999</v>
      </c>
      <c r="H199" s="226">
        <f t="shared" si="169"/>
        <v>317.91739999999999</v>
      </c>
      <c r="I199" s="226">
        <f t="shared" si="169"/>
        <v>317.91739999999999</v>
      </c>
      <c r="J199" s="226">
        <f t="shared" si="169"/>
        <v>317.91739999999999</v>
      </c>
      <c r="K199" s="226">
        <f t="shared" si="169"/>
        <v>317.91739999999999</v>
      </c>
      <c r="L199" s="226">
        <f t="shared" si="169"/>
        <v>317.91739999999999</v>
      </c>
      <c r="M199" s="226">
        <f t="shared" si="169"/>
        <v>317.91739999999999</v>
      </c>
      <c r="N199" s="226">
        <f t="shared" si="169"/>
        <v>0</v>
      </c>
      <c r="O199" s="226">
        <f t="shared" si="169"/>
        <v>0</v>
      </c>
    </row>
    <row r="200" spans="1:15" s="70" customFormat="1" x14ac:dyDescent="0.3">
      <c r="A200" s="70" t="s">
        <v>173</v>
      </c>
      <c r="B200" s="70" t="s">
        <v>18</v>
      </c>
      <c r="C200" s="226">
        <f t="shared" si="168"/>
        <v>3332.7298168242951</v>
      </c>
      <c r="D200" s="228">
        <f>D196-D199</f>
        <v>47.562052054794606</v>
      </c>
      <c r="E200" s="228">
        <f t="shared" ref="E200:O200" si="170">E196-E199</f>
        <v>144.09112739726021</v>
      </c>
      <c r="F200" s="228">
        <f t="shared" si="170"/>
        <v>152.85075657534236</v>
      </c>
      <c r="G200" s="228">
        <f t="shared" si="170"/>
        <v>196.80899905424673</v>
      </c>
      <c r="H200" s="228">
        <f t="shared" si="170"/>
        <v>290.18310462381152</v>
      </c>
      <c r="I200" s="228">
        <f t="shared" si="170"/>
        <v>406.52369812929948</v>
      </c>
      <c r="J200" s="228">
        <f t="shared" si="170"/>
        <v>477.88179553811716</v>
      </c>
      <c r="K200" s="228">
        <f t="shared" si="170"/>
        <v>482.08477145178387</v>
      </c>
      <c r="L200" s="228">
        <f t="shared" si="170"/>
        <v>471.08872416586229</v>
      </c>
      <c r="M200" s="228">
        <f t="shared" si="170"/>
        <v>663.65478783377716</v>
      </c>
      <c r="N200" s="228">
        <f t="shared" si="170"/>
        <v>0</v>
      </c>
      <c r="O200" s="228">
        <f t="shared" si="170"/>
        <v>0</v>
      </c>
    </row>
    <row r="201" spans="1:15" s="70" customFormat="1" x14ac:dyDescent="0.3">
      <c r="B201" s="75"/>
      <c r="C201" s="222"/>
      <c r="D201" s="226"/>
      <c r="E201" s="226"/>
      <c r="F201" s="226"/>
      <c r="G201" s="226"/>
      <c r="H201" s="226"/>
      <c r="I201" s="226"/>
      <c r="J201" s="226"/>
      <c r="K201" s="226"/>
      <c r="L201" s="226"/>
      <c r="M201" s="226"/>
      <c r="N201" s="226"/>
      <c r="O201" s="226"/>
    </row>
    <row r="202" spans="1:15" s="70" customFormat="1" ht="14.5" x14ac:dyDescent="0.35">
      <c r="A202" s="155" t="s">
        <v>163</v>
      </c>
      <c r="B202" s="75"/>
      <c r="C202" s="222"/>
      <c r="D202" s="226"/>
      <c r="E202" s="226"/>
      <c r="F202" s="226"/>
      <c r="G202" s="226"/>
      <c r="H202" s="226"/>
      <c r="I202" s="226"/>
      <c r="J202" s="226"/>
      <c r="K202" s="226"/>
      <c r="L202" s="226"/>
      <c r="M202" s="226"/>
      <c r="N202" s="226"/>
      <c r="O202" s="226"/>
    </row>
    <row r="203" spans="1:15" s="70" customFormat="1" x14ac:dyDescent="0.3">
      <c r="A203" s="70" t="str">
        <f>A24</f>
        <v>Cashstream 2: Capital Costs (for plant and equipment)</v>
      </c>
      <c r="B203" s="70" t="str">
        <f>B24</f>
        <v>US$ 000 Real</v>
      </c>
      <c r="C203" s="218">
        <f t="shared" ref="C203:C204" si="171">SUM(D203:O203)</f>
        <v>1150</v>
      </c>
      <c r="D203" s="226">
        <f t="shared" ref="D203:O203" si="172">D24</f>
        <v>315</v>
      </c>
      <c r="E203" s="226">
        <f t="shared" si="172"/>
        <v>275</v>
      </c>
      <c r="F203" s="226">
        <f t="shared" si="172"/>
        <v>175</v>
      </c>
      <c r="G203" s="226">
        <f t="shared" si="172"/>
        <v>55</v>
      </c>
      <c r="H203" s="226">
        <f t="shared" si="172"/>
        <v>55</v>
      </c>
      <c r="I203" s="226">
        <f t="shared" si="172"/>
        <v>55</v>
      </c>
      <c r="J203" s="226">
        <f t="shared" si="172"/>
        <v>55</v>
      </c>
      <c r="K203" s="226">
        <f t="shared" si="172"/>
        <v>55</v>
      </c>
      <c r="L203" s="226">
        <f t="shared" si="172"/>
        <v>55</v>
      </c>
      <c r="M203" s="226">
        <f t="shared" si="172"/>
        <v>55</v>
      </c>
      <c r="N203" s="226">
        <f t="shared" si="172"/>
        <v>0</v>
      </c>
      <c r="O203" s="226">
        <f t="shared" si="172"/>
        <v>0</v>
      </c>
    </row>
    <row r="204" spans="1:15" s="70" customFormat="1" ht="15.5" x14ac:dyDescent="0.35">
      <c r="A204" s="153" t="s">
        <v>172</v>
      </c>
      <c r="B204" s="70" t="s">
        <v>18</v>
      </c>
      <c r="C204" s="50">
        <f t="shared" si="171"/>
        <v>2182.7298168242951</v>
      </c>
      <c r="D204" s="82">
        <f>D200-D203</f>
        <v>-267.43794794520539</v>
      </c>
      <c r="E204" s="82">
        <f t="shared" ref="E204" si="173">E200-E203</f>
        <v>-130.90887260273979</v>
      </c>
      <c r="F204" s="82">
        <f t="shared" ref="F204" si="174">F200-F203</f>
        <v>-22.149243424657641</v>
      </c>
      <c r="G204" s="82">
        <f t="shared" ref="G204" si="175">G200-G203</f>
        <v>141.80899905424673</v>
      </c>
      <c r="H204" s="82">
        <f t="shared" ref="H204" si="176">H200-H203</f>
        <v>235.18310462381152</v>
      </c>
      <c r="I204" s="82">
        <f t="shared" ref="I204" si="177">I200-I203</f>
        <v>351.52369812929948</v>
      </c>
      <c r="J204" s="82">
        <f t="shared" ref="J204" si="178">J200-J203</f>
        <v>422.88179553811716</v>
      </c>
      <c r="K204" s="82">
        <f t="shared" ref="K204" si="179">K200-K203</f>
        <v>427.08477145178387</v>
      </c>
      <c r="L204" s="82">
        <f t="shared" ref="L204" si="180">L200-L203</f>
        <v>416.08872416586229</v>
      </c>
      <c r="M204" s="82">
        <f t="shared" ref="M204" si="181">M200-M203</f>
        <v>608.65478783377716</v>
      </c>
      <c r="N204" s="82">
        <f t="shared" ref="N204" si="182">N200-N203</f>
        <v>0</v>
      </c>
      <c r="O204" s="82">
        <f t="shared" ref="O204" si="183">O200-O203</f>
        <v>0</v>
      </c>
    </row>
    <row r="205" spans="1:15" s="70" customFormat="1" x14ac:dyDescent="0.3">
      <c r="B205" s="75"/>
      <c r="C205" s="222"/>
      <c r="D205" s="226"/>
      <c r="E205" s="226"/>
      <c r="F205" s="226"/>
      <c r="G205" s="226"/>
      <c r="H205" s="226"/>
      <c r="I205" s="226"/>
      <c r="J205" s="226"/>
      <c r="K205" s="226"/>
      <c r="L205" s="226"/>
      <c r="M205" s="226"/>
      <c r="N205" s="226"/>
      <c r="O205" s="226"/>
    </row>
    <row r="206" spans="1:15" s="70" customFormat="1" ht="14.5" x14ac:dyDescent="0.35">
      <c r="A206" s="155" t="s">
        <v>164</v>
      </c>
      <c r="B206" s="75"/>
      <c r="C206" s="168"/>
      <c r="D206" s="220"/>
      <c r="E206" s="220"/>
      <c r="F206" s="220"/>
      <c r="G206" s="220"/>
      <c r="H206" s="220"/>
      <c r="I206" s="220"/>
      <c r="J206" s="220"/>
      <c r="K206" s="220"/>
      <c r="L206" s="220"/>
      <c r="M206" s="220"/>
      <c r="N206" s="220"/>
      <c r="O206" s="220"/>
    </row>
    <row r="207" spans="1:15" s="70" customFormat="1" ht="15.5" x14ac:dyDescent="0.35">
      <c r="A207" s="166" t="s">
        <v>164</v>
      </c>
      <c r="B207" s="70" t="s">
        <v>45</v>
      </c>
      <c r="C207" s="36">
        <f t="shared" ref="C207:O207" si="184">C150/C158</f>
        <v>0.12243806072471017</v>
      </c>
      <c r="D207" s="36">
        <f t="shared" si="184"/>
        <v>0.16947919682578111</v>
      </c>
      <c r="E207" s="36">
        <f t="shared" si="184"/>
        <v>0.1725842292535914</v>
      </c>
      <c r="F207" s="36">
        <f t="shared" si="184"/>
        <v>0.16699920711837882</v>
      </c>
      <c r="G207" s="36">
        <f t="shared" si="184"/>
        <v>0.15159641793278228</v>
      </c>
      <c r="H207" s="36">
        <f t="shared" si="184"/>
        <v>0.12876126792482739</v>
      </c>
      <c r="I207" s="36">
        <f t="shared" si="184"/>
        <v>0.10873694348913159</v>
      </c>
      <c r="J207" s="36">
        <f t="shared" si="184"/>
        <v>0.10028015109687996</v>
      </c>
      <c r="K207" s="36">
        <f t="shared" si="184"/>
        <v>9.9337321267922732E-2</v>
      </c>
      <c r="L207" s="36">
        <f t="shared" si="184"/>
        <v>9.7941478008099894E-2</v>
      </c>
      <c r="M207" s="36">
        <f t="shared" si="184"/>
        <v>0.10294025844853641</v>
      </c>
      <c r="N207" s="36" t="e">
        <f t="shared" si="184"/>
        <v>#DIV/0!</v>
      </c>
      <c r="O207" s="36" t="e">
        <f t="shared" si="184"/>
        <v>#DIV/0!</v>
      </c>
    </row>
    <row r="208" spans="1:15" s="70" customFormat="1" x14ac:dyDescent="0.3">
      <c r="B208" s="75"/>
      <c r="C208" s="168"/>
      <c r="D208" s="220"/>
      <c r="E208" s="220"/>
      <c r="F208" s="220"/>
      <c r="G208" s="220"/>
      <c r="H208" s="220"/>
      <c r="I208" s="220"/>
      <c r="J208" s="220"/>
      <c r="K208" s="220"/>
      <c r="L208" s="220"/>
      <c r="M208" s="220"/>
      <c r="N208" s="220"/>
      <c r="O208" s="220"/>
    </row>
    <row r="209" spans="2:15" s="70" customFormat="1" x14ac:dyDescent="0.3">
      <c r="B209" s="12"/>
      <c r="C209" s="165"/>
      <c r="D209" s="165"/>
      <c r="E209" s="165"/>
      <c r="F209" s="165"/>
      <c r="G209" s="165"/>
      <c r="H209" s="165"/>
      <c r="I209" s="165"/>
      <c r="J209" s="165"/>
      <c r="K209" s="165"/>
      <c r="L209" s="165"/>
      <c r="M209" s="165"/>
      <c r="N209" s="165"/>
      <c r="O209" s="165"/>
    </row>
  </sheetData>
  <pageMargins left="0.70866141732283472" right="0.70866141732283472" top="0.74803149606299213" bottom="0.74803149606299213"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111"/>
  <sheetViews>
    <sheetView zoomScaleNormal="100" zoomScalePageLayoutView="50" workbookViewId="0">
      <selection activeCell="G2" sqref="G2"/>
    </sheetView>
  </sheetViews>
  <sheetFormatPr defaultColWidth="8.81640625" defaultRowHeight="15.5" x14ac:dyDescent="0.35"/>
  <cols>
    <col min="1" max="1" width="42.1796875" style="6" customWidth="1"/>
    <col min="2" max="2" width="14.26953125" style="12" customWidth="1"/>
    <col min="3" max="3" width="14.54296875" style="1" customWidth="1"/>
    <col min="4" max="15" width="10.36328125" style="3" customWidth="1"/>
    <col min="16" max="16384" width="8.81640625" style="6"/>
  </cols>
  <sheetData>
    <row r="1" spans="1:15" s="47" customFormat="1" ht="30.75" customHeight="1" x14ac:dyDescent="0.35">
      <c r="A1" s="150" t="str">
        <f>'Intro, Audits'!A1</f>
        <v>worked example - Business Model plus funding and accounting 10 years - Base Case</v>
      </c>
      <c r="B1" s="157"/>
      <c r="C1" s="156"/>
      <c r="D1" s="157"/>
      <c r="E1" s="157"/>
    </row>
    <row r="2" spans="1:15" s="126" customFormat="1" ht="33.5" customHeight="1" x14ac:dyDescent="0.35">
      <c r="A2" s="18" t="s">
        <v>36</v>
      </c>
      <c r="C2" s="183"/>
      <c r="D2" s="183"/>
      <c r="E2" s="183"/>
      <c r="F2" s="183"/>
      <c r="G2" s="183"/>
      <c r="H2" s="183"/>
      <c r="I2" s="183"/>
      <c r="J2" s="183"/>
      <c r="K2" s="183"/>
      <c r="L2" s="183"/>
      <c r="M2" s="183"/>
      <c r="N2" s="183"/>
      <c r="O2" s="183"/>
    </row>
    <row r="3" spans="1:15" ht="17.25" customHeight="1" x14ac:dyDescent="0.35">
      <c r="A3" s="27"/>
      <c r="C3" s="21"/>
    </row>
    <row r="4" spans="1:15" ht="17.25" customHeight="1" x14ac:dyDescent="0.35">
      <c r="A4" s="27"/>
      <c r="C4" s="21"/>
    </row>
    <row r="5" spans="1:15" ht="17.25" customHeight="1" x14ac:dyDescent="0.35">
      <c r="A5" s="7"/>
      <c r="C5" s="21"/>
    </row>
    <row r="6" spans="1:15" ht="17.25" customHeight="1" x14ac:dyDescent="0.35">
      <c r="A6" s="7"/>
      <c r="C6" s="21"/>
    </row>
    <row r="7" spans="1:15" ht="17.25" customHeight="1" x14ac:dyDescent="0.35">
      <c r="A7" s="7"/>
      <c r="C7" s="21"/>
    </row>
    <row r="8" spans="1:15" ht="17.25" customHeight="1" x14ac:dyDescent="0.35">
      <c r="A8" s="7"/>
      <c r="C8" s="21"/>
    </row>
    <row r="9" spans="1:15" ht="17.25" customHeight="1" x14ac:dyDescent="0.35">
      <c r="A9" s="7"/>
      <c r="C9" s="21"/>
    </row>
    <row r="10" spans="1:15" ht="17.25" customHeight="1" x14ac:dyDescent="0.35">
      <c r="A10" s="7"/>
      <c r="C10" s="21"/>
    </row>
    <row r="11" spans="1:15" s="232" customFormat="1" ht="28.5" customHeight="1" x14ac:dyDescent="0.35">
      <c r="A11" s="229" t="str">
        <f>'Sales &amp; Revenue'!A$25</f>
        <v>Years --&gt;</v>
      </c>
      <c r="B11" s="229" t="str">
        <f>'Sales &amp; Revenue'!B$25</f>
        <v>units</v>
      </c>
      <c r="C11" s="230" t="str">
        <f>'Sales &amp; Revenue'!C$25</f>
        <v>Total</v>
      </c>
      <c r="D11" s="231">
        <f>'Sales &amp; Revenue'!D$25</f>
        <v>2026</v>
      </c>
      <c r="E11" s="231">
        <f>'Sales &amp; Revenue'!E$25</f>
        <v>2027</v>
      </c>
      <c r="F11" s="231">
        <f>'Sales &amp; Revenue'!F$25</f>
        <v>2028</v>
      </c>
      <c r="G11" s="231">
        <f>'Sales &amp; Revenue'!G$25</f>
        <v>2029</v>
      </c>
      <c r="H11" s="231">
        <f>'Sales &amp; Revenue'!H$25</f>
        <v>2030</v>
      </c>
      <c r="I11" s="231">
        <f>'Sales &amp; Revenue'!I$25</f>
        <v>2031</v>
      </c>
      <c r="J11" s="231">
        <f>'Sales &amp; Revenue'!J$25</f>
        <v>2032</v>
      </c>
      <c r="K11" s="231">
        <f>'Sales &amp; Revenue'!K$25</f>
        <v>2033</v>
      </c>
      <c r="L11" s="231">
        <f>'Sales &amp; Revenue'!L$25</f>
        <v>2034</v>
      </c>
      <c r="M11" s="231">
        <f>'Sales &amp; Revenue'!M$25</f>
        <v>2035</v>
      </c>
      <c r="N11" s="231">
        <f>'Sales &amp; Revenue'!N$25</f>
        <v>2036</v>
      </c>
      <c r="O11" s="231">
        <f>'Sales &amp; Revenue'!O$25</f>
        <v>2037</v>
      </c>
    </row>
    <row r="12" spans="1:15" s="20" customFormat="1" ht="53.25" customHeight="1" x14ac:dyDescent="0.35">
      <c r="A12" s="18" t="s">
        <v>8</v>
      </c>
      <c r="B12" s="19"/>
      <c r="C12" s="5"/>
      <c r="D12" s="5"/>
      <c r="E12" s="5"/>
      <c r="F12" s="5"/>
      <c r="G12" s="5"/>
      <c r="H12" s="5"/>
      <c r="I12" s="5"/>
      <c r="J12" s="5"/>
      <c r="K12" s="5"/>
      <c r="L12" s="5"/>
      <c r="M12" s="5"/>
      <c r="N12" s="5"/>
      <c r="O12" s="5"/>
    </row>
    <row r="13" spans="1:15" s="258" customFormat="1" ht="15" customHeight="1" x14ac:dyDescent="0.35">
      <c r="A13" s="259" t="s">
        <v>355</v>
      </c>
      <c r="B13" s="203"/>
      <c r="C13" s="257"/>
      <c r="D13" s="257"/>
      <c r="E13" s="257"/>
      <c r="F13" s="257"/>
      <c r="G13" s="257"/>
      <c r="H13" s="257"/>
      <c r="I13" s="257"/>
      <c r="J13" s="257"/>
      <c r="K13" s="257"/>
      <c r="L13" s="257"/>
      <c r="M13" s="257"/>
      <c r="N13" s="257"/>
      <c r="O13" s="257"/>
    </row>
    <row r="14" spans="1:15" s="258" customFormat="1" ht="15" customHeight="1" x14ac:dyDescent="0.35">
      <c r="A14" s="259" t="s">
        <v>356</v>
      </c>
      <c r="B14" s="203"/>
      <c r="C14" s="257"/>
      <c r="D14" s="257"/>
      <c r="E14" s="257"/>
      <c r="F14" s="257"/>
      <c r="G14" s="257"/>
      <c r="H14" s="257"/>
      <c r="I14" s="257"/>
      <c r="J14" s="257"/>
      <c r="K14" s="257"/>
      <c r="L14" s="257"/>
      <c r="M14" s="257"/>
      <c r="N14" s="257"/>
      <c r="O14" s="257"/>
    </row>
    <row r="15" spans="1:15" s="258" customFormat="1" ht="15.75" customHeight="1" x14ac:dyDescent="0.35">
      <c r="A15" s="259" t="s">
        <v>357</v>
      </c>
      <c r="B15" s="203"/>
      <c r="C15" s="257"/>
      <c r="D15" s="257"/>
      <c r="E15" s="257"/>
      <c r="F15" s="257"/>
      <c r="G15" s="257"/>
      <c r="H15" s="257"/>
      <c r="I15" s="257"/>
      <c r="J15" s="257"/>
      <c r="K15" s="257"/>
      <c r="L15" s="257"/>
      <c r="M15" s="257"/>
      <c r="N15" s="257"/>
      <c r="O15" s="257"/>
    </row>
    <row r="16" spans="1:15" x14ac:dyDescent="0.35">
      <c r="A16" s="233" t="s">
        <v>100</v>
      </c>
    </row>
    <row r="17" spans="1:15" s="7" customFormat="1" x14ac:dyDescent="0.35">
      <c r="A17" s="261" t="str">
        <f>'Sales &amp; Revenue'!A37</f>
        <v>Total ABC units sold</v>
      </c>
      <c r="B17" s="245" t="str">
        <f>'Sales &amp; Revenue'!B37</f>
        <v>units</v>
      </c>
      <c r="C17" s="260">
        <f>'Sales &amp; Revenue'!C37</f>
        <v>735565.2536666526</v>
      </c>
      <c r="D17" s="260">
        <f>'Sales &amp; Revenue'!D37</f>
        <v>40000</v>
      </c>
      <c r="E17" s="260">
        <f>'Sales &amp; Revenue'!E37</f>
        <v>42250</v>
      </c>
      <c r="F17" s="260">
        <f>'Sales &amp; Revenue'!F37</f>
        <v>46475</v>
      </c>
      <c r="G17" s="260">
        <f>'Sales &amp; Revenue'!G37</f>
        <v>55165</v>
      </c>
      <c r="H17" s="260">
        <f>'Sales &amp; Revenue'!H37</f>
        <v>68304.500000000015</v>
      </c>
      <c r="I17" s="260">
        <f>'Sales &amp; Revenue'!I37</f>
        <v>84836.950000000012</v>
      </c>
      <c r="J17" s="260">
        <f>'Sales &amp; Revenue'!J37</f>
        <v>95260.357500000013</v>
      </c>
      <c r="K17" s="260">
        <f>'Sales &amp; Revenue'!K37</f>
        <v>98118.168225000016</v>
      </c>
      <c r="L17" s="260">
        <f>'Sales &amp; Revenue'!L37</f>
        <v>101061.71327175002</v>
      </c>
      <c r="M17" s="260">
        <f>'Sales &amp; Revenue'!M37</f>
        <v>104093.56466990251</v>
      </c>
      <c r="N17" s="260">
        <f>'Sales &amp; Revenue'!N37</f>
        <v>0</v>
      </c>
      <c r="O17" s="260">
        <f>'Sales &amp; Revenue'!O37</f>
        <v>0</v>
      </c>
    </row>
    <row r="19" spans="1:15" s="43" customFormat="1" ht="30.5" customHeight="1" x14ac:dyDescent="0.35">
      <c r="A19" s="111" t="s">
        <v>177</v>
      </c>
      <c r="B19" s="42"/>
      <c r="C19" s="72"/>
      <c r="D19" s="146"/>
      <c r="E19" s="146"/>
      <c r="F19" s="146"/>
      <c r="G19" s="146"/>
      <c r="H19" s="146"/>
      <c r="I19" s="146"/>
      <c r="J19" s="146"/>
      <c r="K19" s="146"/>
      <c r="L19" s="146"/>
      <c r="M19" s="146"/>
      <c r="N19" s="146"/>
      <c r="O19" s="146"/>
    </row>
    <row r="20" spans="1:15" s="12" customFormat="1" ht="13" x14ac:dyDescent="0.3">
      <c r="A20" s="259" t="s">
        <v>358</v>
      </c>
      <c r="C20" s="120"/>
      <c r="D20" s="160"/>
      <c r="E20" s="160"/>
      <c r="F20" s="160"/>
      <c r="G20" s="160"/>
      <c r="H20" s="160"/>
      <c r="I20" s="160"/>
      <c r="J20" s="160"/>
      <c r="K20" s="160"/>
      <c r="L20" s="160"/>
      <c r="M20" s="160"/>
      <c r="N20" s="160"/>
      <c r="O20" s="160"/>
    </row>
    <row r="21" spans="1:15" s="12" customFormat="1" ht="13" x14ac:dyDescent="0.3">
      <c r="A21" s="184" t="s">
        <v>50</v>
      </c>
      <c r="B21" s="185"/>
      <c r="C21" s="164"/>
      <c r="D21" s="247">
        <v>0.1</v>
      </c>
      <c r="E21" s="186">
        <f t="shared" ref="E21:O21" si="0">D21</f>
        <v>0.1</v>
      </c>
      <c r="F21" s="186">
        <f t="shared" si="0"/>
        <v>0.1</v>
      </c>
      <c r="G21" s="186">
        <f t="shared" si="0"/>
        <v>0.1</v>
      </c>
      <c r="H21" s="186">
        <f t="shared" si="0"/>
        <v>0.1</v>
      </c>
      <c r="I21" s="186">
        <f t="shared" si="0"/>
        <v>0.1</v>
      </c>
      <c r="J21" s="186">
        <f t="shared" si="0"/>
        <v>0.1</v>
      </c>
      <c r="K21" s="186">
        <f t="shared" si="0"/>
        <v>0.1</v>
      </c>
      <c r="L21" s="186">
        <f t="shared" si="0"/>
        <v>0.1</v>
      </c>
      <c r="M21" s="186">
        <f t="shared" si="0"/>
        <v>0.1</v>
      </c>
      <c r="N21" s="186">
        <f t="shared" si="0"/>
        <v>0.1</v>
      </c>
      <c r="O21" s="186">
        <f t="shared" si="0"/>
        <v>0.1</v>
      </c>
    </row>
    <row r="22" spans="1:15" s="12" customFormat="1" ht="13" x14ac:dyDescent="0.3">
      <c r="A22" s="235" t="str">
        <f>'Capital &amp; Operating Costs'!A$133</f>
        <v>rent</v>
      </c>
      <c r="B22" s="235" t="str">
        <f>'Capital &amp; Operating Costs'!B$133</f>
        <v>US$ 000 Real</v>
      </c>
      <c r="C22" s="236">
        <f>'Capital &amp; Operating Costs'!C$133</f>
        <v>624</v>
      </c>
      <c r="D22" s="244">
        <f>'Capital &amp; Operating Costs'!D$133</f>
        <v>52</v>
      </c>
      <c r="E22" s="244">
        <f>'Capital &amp; Operating Costs'!E$133</f>
        <v>52</v>
      </c>
      <c r="F22" s="244">
        <f>'Capital &amp; Operating Costs'!F$133</f>
        <v>52</v>
      </c>
      <c r="G22" s="244">
        <f>'Capital &amp; Operating Costs'!G$133</f>
        <v>52</v>
      </c>
      <c r="H22" s="244">
        <f>'Capital &amp; Operating Costs'!H$133</f>
        <v>52</v>
      </c>
      <c r="I22" s="244">
        <f>'Capital &amp; Operating Costs'!I$133</f>
        <v>52</v>
      </c>
      <c r="J22" s="244">
        <f>'Capital &amp; Operating Costs'!J$133</f>
        <v>52</v>
      </c>
      <c r="K22" s="244">
        <f>'Capital &amp; Operating Costs'!K$133</f>
        <v>52</v>
      </c>
      <c r="L22" s="244">
        <f>'Capital &amp; Operating Costs'!L$133</f>
        <v>52</v>
      </c>
      <c r="M22" s="244">
        <f>'Capital &amp; Operating Costs'!M$133</f>
        <v>52</v>
      </c>
      <c r="N22" s="244">
        <f>'Capital &amp; Operating Costs'!N$133</f>
        <v>52</v>
      </c>
      <c r="O22" s="244">
        <f>'Capital &amp; Operating Costs'!O$133</f>
        <v>52</v>
      </c>
    </row>
    <row r="23" spans="1:15" s="25" customFormat="1" x14ac:dyDescent="0.35">
      <c r="A23" s="25" t="str">
        <f>A19</f>
        <v>4a.  Withholding Tax ("WHT")</v>
      </c>
      <c r="B23" s="55" t="s">
        <v>17</v>
      </c>
      <c r="C23" s="23">
        <f>SUM(D23:O23)</f>
        <v>52.000000000000007</v>
      </c>
      <c r="D23" s="37">
        <f>IF(D17=0,0,D21*D22)</f>
        <v>5.2</v>
      </c>
      <c r="E23" s="37">
        <f t="shared" ref="E23:O23" si="1">IF(E17=0,0,E21*E22)</f>
        <v>5.2</v>
      </c>
      <c r="F23" s="37">
        <f t="shared" si="1"/>
        <v>5.2</v>
      </c>
      <c r="G23" s="37">
        <f t="shared" si="1"/>
        <v>5.2</v>
      </c>
      <c r="H23" s="37">
        <f t="shared" si="1"/>
        <v>5.2</v>
      </c>
      <c r="I23" s="37">
        <f t="shared" si="1"/>
        <v>5.2</v>
      </c>
      <c r="J23" s="37">
        <f t="shared" si="1"/>
        <v>5.2</v>
      </c>
      <c r="K23" s="37">
        <f t="shared" si="1"/>
        <v>5.2</v>
      </c>
      <c r="L23" s="37">
        <f t="shared" si="1"/>
        <v>5.2</v>
      </c>
      <c r="M23" s="37">
        <f t="shared" si="1"/>
        <v>5.2</v>
      </c>
      <c r="N23" s="37">
        <f t="shared" si="1"/>
        <v>0</v>
      </c>
      <c r="O23" s="37">
        <f t="shared" si="1"/>
        <v>0</v>
      </c>
    </row>
    <row r="24" spans="1:15" s="58" customFormat="1" ht="23.5" customHeight="1" x14ac:dyDescent="0.35">
      <c r="B24" s="12"/>
      <c r="C24" s="23"/>
      <c r="D24" s="57"/>
      <c r="E24" s="57"/>
      <c r="F24" s="57"/>
      <c r="G24" s="57"/>
      <c r="H24" s="57"/>
      <c r="I24" s="57"/>
      <c r="J24" s="57"/>
      <c r="K24" s="57"/>
      <c r="L24" s="57"/>
      <c r="M24" s="57"/>
      <c r="N24" s="57"/>
      <c r="O24" s="57"/>
    </row>
    <row r="25" spans="1:15" s="43" customFormat="1" ht="30.5" customHeight="1" x14ac:dyDescent="0.35">
      <c r="A25" s="111" t="s">
        <v>178</v>
      </c>
      <c r="B25" s="42"/>
      <c r="C25" s="72"/>
      <c r="D25" s="146"/>
      <c r="E25" s="146"/>
      <c r="F25" s="146"/>
      <c r="G25" s="146"/>
      <c r="H25" s="146"/>
      <c r="I25" s="146"/>
      <c r="J25" s="146"/>
      <c r="K25" s="146"/>
      <c r="L25" s="146"/>
      <c r="M25" s="146"/>
      <c r="N25" s="146"/>
      <c r="O25" s="146"/>
    </row>
    <row r="26" spans="1:15" s="12" customFormat="1" ht="13" x14ac:dyDescent="0.3">
      <c r="A26" s="15" t="s">
        <v>359</v>
      </c>
      <c r="C26" s="120"/>
      <c r="D26" s="160"/>
      <c r="E26" s="160"/>
      <c r="F26" s="160"/>
      <c r="G26" s="160"/>
      <c r="H26" s="160"/>
      <c r="I26" s="160"/>
      <c r="J26" s="160"/>
      <c r="K26" s="160"/>
      <c r="L26" s="160"/>
      <c r="M26" s="160"/>
      <c r="N26" s="160"/>
      <c r="O26" s="160"/>
    </row>
    <row r="27" spans="1:15" s="12" customFormat="1" ht="13" x14ac:dyDescent="0.3">
      <c r="A27" s="15" t="s">
        <v>360</v>
      </c>
      <c r="C27" s="120"/>
      <c r="D27" s="160"/>
      <c r="E27" s="160"/>
      <c r="F27" s="160"/>
      <c r="G27" s="160"/>
      <c r="H27" s="160"/>
      <c r="I27" s="160"/>
      <c r="J27" s="160"/>
      <c r="K27" s="160"/>
      <c r="L27" s="160"/>
      <c r="M27" s="160"/>
      <c r="N27" s="160"/>
      <c r="O27" s="160"/>
    </row>
    <row r="28" spans="1:15" s="75" customFormat="1" ht="18" customHeight="1" x14ac:dyDescent="0.35">
      <c r="A28" s="262" t="s">
        <v>180</v>
      </c>
      <c r="B28" s="19"/>
      <c r="C28" s="168"/>
      <c r="D28" s="162"/>
      <c r="E28" s="162"/>
      <c r="F28" s="162"/>
      <c r="G28" s="162"/>
      <c r="H28" s="162"/>
      <c r="I28" s="162"/>
      <c r="J28" s="162"/>
      <c r="K28" s="162"/>
      <c r="L28" s="162"/>
      <c r="M28" s="162"/>
      <c r="N28" s="162"/>
      <c r="O28" s="162"/>
    </row>
    <row r="29" spans="1:15" s="12" customFormat="1" ht="13" x14ac:dyDescent="0.3">
      <c r="A29" s="184" t="s">
        <v>179</v>
      </c>
      <c r="B29" s="185" t="s">
        <v>26</v>
      </c>
      <c r="C29" s="164"/>
      <c r="D29" s="247">
        <v>0.1</v>
      </c>
      <c r="E29" s="186">
        <f t="shared" ref="E29:O29" si="2">D29</f>
        <v>0.1</v>
      </c>
      <c r="F29" s="186">
        <f t="shared" si="2"/>
        <v>0.1</v>
      </c>
      <c r="G29" s="186">
        <f t="shared" si="2"/>
        <v>0.1</v>
      </c>
      <c r="H29" s="186">
        <f t="shared" si="2"/>
        <v>0.1</v>
      </c>
      <c r="I29" s="186">
        <f t="shared" si="2"/>
        <v>0.1</v>
      </c>
      <c r="J29" s="186">
        <f t="shared" si="2"/>
        <v>0.1</v>
      </c>
      <c r="K29" s="186">
        <f t="shared" si="2"/>
        <v>0.1</v>
      </c>
      <c r="L29" s="186">
        <f t="shared" si="2"/>
        <v>0.1</v>
      </c>
      <c r="M29" s="186">
        <f t="shared" si="2"/>
        <v>0.1</v>
      </c>
      <c r="N29" s="186">
        <f t="shared" si="2"/>
        <v>0.1</v>
      </c>
      <c r="O29" s="186">
        <f t="shared" si="2"/>
        <v>0.1</v>
      </c>
    </row>
    <row r="30" spans="1:15" s="264" customFormat="1" ht="13" x14ac:dyDescent="0.3">
      <c r="A30" s="264" t="s">
        <v>49</v>
      </c>
      <c r="B30" s="264" t="s">
        <v>27</v>
      </c>
      <c r="C30" s="267"/>
      <c r="D30" s="266">
        <f t="shared" ref="D30:O30" si="3">100%-100%/(100%+D29)</f>
        <v>9.0909090909090939E-2</v>
      </c>
      <c r="E30" s="266">
        <f t="shared" si="3"/>
        <v>9.0909090909090939E-2</v>
      </c>
      <c r="F30" s="266">
        <f t="shared" si="3"/>
        <v>9.0909090909090939E-2</v>
      </c>
      <c r="G30" s="266">
        <f t="shared" si="3"/>
        <v>9.0909090909090939E-2</v>
      </c>
      <c r="H30" s="266">
        <f t="shared" si="3"/>
        <v>9.0909090909090939E-2</v>
      </c>
      <c r="I30" s="266">
        <f t="shared" si="3"/>
        <v>9.0909090909090939E-2</v>
      </c>
      <c r="J30" s="266">
        <f t="shared" si="3"/>
        <v>9.0909090909090939E-2</v>
      </c>
      <c r="K30" s="266">
        <f t="shared" si="3"/>
        <v>9.0909090909090939E-2</v>
      </c>
      <c r="L30" s="266">
        <f t="shared" si="3"/>
        <v>9.0909090909090939E-2</v>
      </c>
      <c r="M30" s="266">
        <f t="shared" si="3"/>
        <v>9.0909090909090939E-2</v>
      </c>
      <c r="N30" s="266">
        <f t="shared" si="3"/>
        <v>9.0909090909090939E-2</v>
      </c>
      <c r="O30" s="266">
        <f t="shared" si="3"/>
        <v>9.0909090909090939E-2</v>
      </c>
    </row>
    <row r="31" spans="1:15" s="75" customFormat="1" ht="19.5" customHeight="1" x14ac:dyDescent="0.35">
      <c r="A31" s="262" t="s">
        <v>181</v>
      </c>
      <c r="B31" s="19"/>
      <c r="C31" s="168"/>
      <c r="D31" s="162"/>
      <c r="E31" s="162"/>
      <c r="F31" s="162"/>
      <c r="G31" s="162"/>
      <c r="H31" s="162"/>
      <c r="I31" s="162"/>
      <c r="J31" s="162"/>
      <c r="K31" s="162"/>
      <c r="L31" s="162"/>
      <c r="M31" s="162"/>
      <c r="N31" s="162"/>
      <c r="O31" s="162"/>
    </row>
    <row r="32" spans="1:15" s="12" customFormat="1" ht="13" x14ac:dyDescent="0.3">
      <c r="A32" s="235" t="str">
        <f>'Sales &amp; Revenue'!A54</f>
        <v>Revenue from ABC units</v>
      </c>
      <c r="B32" s="235" t="str">
        <f>'Sales &amp; Revenue'!B54</f>
        <v>US$ 000  Real</v>
      </c>
      <c r="C32" s="236">
        <f>'Sales &amp; Revenue'!C54</f>
        <v>28767.418847075358</v>
      </c>
      <c r="D32" s="244">
        <f>'Sales &amp; Revenue'!D54</f>
        <v>1770</v>
      </c>
      <c r="E32" s="244">
        <f>'Sales &amp; Revenue'!E54</f>
        <v>1835.54</v>
      </c>
      <c r="F32" s="244">
        <f>'Sales &amp; Revenue'!F54</f>
        <v>1978.7121200000001</v>
      </c>
      <c r="G32" s="244">
        <f>'Sales &amp; Revenue'!G54</f>
        <v>2293.9390258400003</v>
      </c>
      <c r="H32" s="244">
        <f>'Sales &amp; Revenue'!H54</f>
        <v>2759.2283782817608</v>
      </c>
      <c r="I32" s="244">
        <f>'Sales &amp; Revenue'!I54</f>
        <v>3330.2531115073416</v>
      </c>
      <c r="J32" s="244">
        <f>'Sales &amp; Revenue'!J54</f>
        <v>3648.1741866301709</v>
      </c>
      <c r="K32" s="244">
        <f>'Sales &amp; Revenue'!K54</f>
        <v>3682.4670239844936</v>
      </c>
      <c r="L32" s="244">
        <f>'Sales &amp; Revenue'!L54</f>
        <v>3717.0822140099485</v>
      </c>
      <c r="M32" s="244">
        <f>'Sales &amp; Revenue'!M54</f>
        <v>3752.0227868216416</v>
      </c>
      <c r="N32" s="244">
        <f>'Sales &amp; Revenue'!N54</f>
        <v>0</v>
      </c>
      <c r="O32" s="244">
        <f>'Sales &amp; Revenue'!O54</f>
        <v>0</v>
      </c>
    </row>
    <row r="33" spans="1:15" s="70" customFormat="1" ht="13" x14ac:dyDescent="0.3">
      <c r="A33" s="70" t="str">
        <f>A31</f>
        <v>VAT paid on Revenues</v>
      </c>
      <c r="B33" s="12" t="s">
        <v>17</v>
      </c>
      <c r="C33" s="164">
        <f>SUM(D33:O33)</f>
        <v>2615.2198951886694</v>
      </c>
      <c r="D33" s="263">
        <f t="shared" ref="D33:O33" si="4">D30*D32</f>
        <v>160.90909090909096</v>
      </c>
      <c r="E33" s="263">
        <f t="shared" si="4"/>
        <v>166.86727272727279</v>
      </c>
      <c r="F33" s="263">
        <f>F30*F32</f>
        <v>179.88292000000007</v>
      </c>
      <c r="G33" s="263">
        <f t="shared" si="4"/>
        <v>208.53991144000011</v>
      </c>
      <c r="H33" s="263">
        <f t="shared" si="4"/>
        <v>250.83894348016017</v>
      </c>
      <c r="I33" s="263">
        <f t="shared" si="4"/>
        <v>302.75028286430387</v>
      </c>
      <c r="J33" s="263">
        <f t="shared" si="4"/>
        <v>331.65219878456111</v>
      </c>
      <c r="K33" s="263">
        <f t="shared" si="4"/>
        <v>334.76972945313588</v>
      </c>
      <c r="L33" s="263">
        <f t="shared" si="4"/>
        <v>337.91656490999543</v>
      </c>
      <c r="M33" s="263">
        <f t="shared" si="4"/>
        <v>341.09298062014938</v>
      </c>
      <c r="N33" s="263">
        <f t="shared" si="4"/>
        <v>0</v>
      </c>
      <c r="O33" s="263">
        <f t="shared" si="4"/>
        <v>0</v>
      </c>
    </row>
    <row r="34" spans="1:15" s="70" customFormat="1" ht="13" x14ac:dyDescent="0.3">
      <c r="A34" s="262" t="s">
        <v>187</v>
      </c>
      <c r="B34" s="12"/>
      <c r="C34" s="164"/>
      <c r="D34" s="165"/>
      <c r="E34" s="165"/>
      <c r="F34" s="165"/>
      <c r="G34" s="165"/>
      <c r="H34" s="165"/>
      <c r="I34" s="165"/>
      <c r="J34" s="165"/>
      <c r="K34" s="165"/>
      <c r="L34" s="165"/>
      <c r="M34" s="165"/>
      <c r="N34" s="165"/>
      <c r="O34" s="165"/>
    </row>
    <row r="35" spans="1:15" s="70" customFormat="1" ht="13" x14ac:dyDescent="0.3">
      <c r="A35" s="15" t="s">
        <v>361</v>
      </c>
      <c r="B35" s="12"/>
      <c r="C35" s="164"/>
      <c r="D35" s="165"/>
      <c r="E35" s="165"/>
      <c r="F35" s="165"/>
      <c r="G35" s="165"/>
      <c r="H35" s="165"/>
      <c r="I35" s="165"/>
      <c r="J35" s="165"/>
      <c r="K35" s="165"/>
      <c r="L35" s="165"/>
      <c r="M35" s="165"/>
      <c r="N35" s="165"/>
      <c r="O35" s="165"/>
    </row>
    <row r="36" spans="1:15" s="12" customFormat="1" ht="13" x14ac:dyDescent="0.3">
      <c r="A36" s="235" t="str">
        <f>'Capital &amp; Operating Costs'!A24</f>
        <v>Cashstream 2: Capital Costs (for plant and equipment)</v>
      </c>
      <c r="B36" s="235" t="str">
        <f>'Capital &amp; Operating Costs'!B24</f>
        <v>US$ 000 Real</v>
      </c>
      <c r="C36" s="236">
        <f>'Capital &amp; Operating Costs'!C24</f>
        <v>1150</v>
      </c>
      <c r="D36" s="244">
        <f>'Capital &amp; Operating Costs'!D24</f>
        <v>315</v>
      </c>
      <c r="E36" s="244">
        <f>'Capital &amp; Operating Costs'!E24</f>
        <v>275</v>
      </c>
      <c r="F36" s="244">
        <f>'Capital &amp; Operating Costs'!F24</f>
        <v>175</v>
      </c>
      <c r="G36" s="244">
        <f>'Capital &amp; Operating Costs'!G24</f>
        <v>55</v>
      </c>
      <c r="H36" s="244">
        <f>'Capital &amp; Operating Costs'!H24</f>
        <v>55</v>
      </c>
      <c r="I36" s="244">
        <f>'Capital &amp; Operating Costs'!I24</f>
        <v>55</v>
      </c>
      <c r="J36" s="244">
        <f>'Capital &amp; Operating Costs'!J24</f>
        <v>55</v>
      </c>
      <c r="K36" s="244">
        <f>'Capital &amp; Operating Costs'!K24</f>
        <v>55</v>
      </c>
      <c r="L36" s="244">
        <f>'Capital &amp; Operating Costs'!L24</f>
        <v>55</v>
      </c>
      <c r="M36" s="244">
        <f>'Capital &amp; Operating Costs'!M24</f>
        <v>55</v>
      </c>
      <c r="N36" s="244">
        <f>'Capital &amp; Operating Costs'!N24</f>
        <v>0</v>
      </c>
      <c r="O36" s="244">
        <f>'Capital &amp; Operating Costs'!O24</f>
        <v>0</v>
      </c>
    </row>
    <row r="37" spans="1:15" s="12" customFormat="1" ht="13" x14ac:dyDescent="0.3">
      <c r="A37" s="235" t="str">
        <f>'Capital &amp; Operating Costs'!A158</f>
        <v>3c.  Total Operating 'Expenses'</v>
      </c>
      <c r="B37" s="235" t="str">
        <f>'Capital &amp; Operating Costs'!B158</f>
        <v>US$ 000 Real</v>
      </c>
      <c r="C37" s="236">
        <f>'Capital &amp; Operating Costs'!C158</f>
        <v>25434.689030251066</v>
      </c>
      <c r="D37" s="244">
        <f>'Capital &amp; Operating Costs'!D158</f>
        <v>1722.4379479452055</v>
      </c>
      <c r="E37" s="244">
        <f>'Capital &amp; Operating Costs'!E158</f>
        <v>1691.4488726027398</v>
      </c>
      <c r="F37" s="244">
        <f>'Capital &amp; Operating Costs'!F158</f>
        <v>1825.8613634246578</v>
      </c>
      <c r="G37" s="244">
        <f>'Capital &amp; Operating Costs'!G158</f>
        <v>2097.1300267857537</v>
      </c>
      <c r="H37" s="244">
        <f>'Capital &amp; Operating Costs'!H158</f>
        <v>2469.0452736579491</v>
      </c>
      <c r="I37" s="244">
        <f>'Capital &amp; Operating Costs'!I158</f>
        <v>2923.729413378042</v>
      </c>
      <c r="J37" s="244">
        <f>'Capital &amp; Operating Costs'!J158</f>
        <v>3170.2923910920535</v>
      </c>
      <c r="K37" s="244">
        <f>'Capital &amp; Operating Costs'!K158</f>
        <v>3200.3822525327096</v>
      </c>
      <c r="L37" s="244">
        <f>'Capital &amp; Operating Costs'!L158</f>
        <v>3245.9934898440861</v>
      </c>
      <c r="M37" s="244">
        <f>'Capital &amp; Operating Costs'!M158</f>
        <v>3088.3679989878642</v>
      </c>
      <c r="N37" s="244">
        <f>'Capital &amp; Operating Costs'!N158</f>
        <v>0</v>
      </c>
      <c r="O37" s="244">
        <f>'Capital &amp; Operating Costs'!O158</f>
        <v>0</v>
      </c>
    </row>
    <row r="38" spans="1:15" s="70" customFormat="1" ht="13" x14ac:dyDescent="0.3">
      <c r="A38" s="70" t="str">
        <f>A34</f>
        <v>VAT credits received on inputs</v>
      </c>
      <c r="B38" s="12" t="s">
        <v>17</v>
      </c>
      <c r="C38" s="164">
        <f>SUM(D38:O38)</f>
        <v>2416.7899118410064</v>
      </c>
      <c r="D38" s="263">
        <f t="shared" ref="D38:O38" si="5">D30*(D36+D37)</f>
        <v>185.22163163138237</v>
      </c>
      <c r="E38" s="263">
        <f t="shared" si="5"/>
        <v>178.76807932752186</v>
      </c>
      <c r="F38" s="263">
        <f t="shared" si="5"/>
        <v>181.89648758405986</v>
      </c>
      <c r="G38" s="263">
        <f t="shared" si="5"/>
        <v>195.64818425325041</v>
      </c>
      <c r="H38" s="263">
        <f t="shared" si="5"/>
        <v>229.4586612416318</v>
      </c>
      <c r="I38" s="263">
        <f t="shared" si="5"/>
        <v>270.79358303436754</v>
      </c>
      <c r="J38" s="263">
        <f t="shared" si="5"/>
        <v>293.20839919018681</v>
      </c>
      <c r="K38" s="263">
        <f t="shared" si="5"/>
        <v>295.94384113933734</v>
      </c>
      <c r="L38" s="263">
        <f t="shared" si="5"/>
        <v>300.0903172585534</v>
      </c>
      <c r="M38" s="263">
        <f t="shared" si="5"/>
        <v>285.76072718071504</v>
      </c>
      <c r="N38" s="263">
        <f t="shared" si="5"/>
        <v>0</v>
      </c>
      <c r="O38" s="263">
        <f t="shared" si="5"/>
        <v>0</v>
      </c>
    </row>
    <row r="39" spans="1:15" s="75" customFormat="1" ht="25.75" customHeight="1" x14ac:dyDescent="0.35">
      <c r="A39" s="262" t="s">
        <v>215</v>
      </c>
      <c r="B39" s="19"/>
      <c r="C39" s="168"/>
      <c r="D39" s="162"/>
      <c r="E39" s="162"/>
      <c r="F39" s="162"/>
      <c r="G39" s="162"/>
      <c r="H39" s="162"/>
      <c r="I39" s="162"/>
      <c r="J39" s="162"/>
      <c r="K39" s="162"/>
      <c r="L39" s="162"/>
      <c r="M39" s="162"/>
      <c r="N39" s="162"/>
      <c r="O39" s="162"/>
    </row>
    <row r="40" spans="1:15" s="25" customFormat="1" x14ac:dyDescent="0.35">
      <c r="A40" s="25" t="s">
        <v>296</v>
      </c>
      <c r="B40" s="55" t="s">
        <v>17</v>
      </c>
      <c r="C40" s="23">
        <f>SUM(D40:O40)</f>
        <v>198.42998334766335</v>
      </c>
      <c r="D40" s="37">
        <f t="shared" ref="D40:O40" si="6">D33-D38</f>
        <v>-24.312540722291402</v>
      </c>
      <c r="E40" s="37">
        <f t="shared" si="6"/>
        <v>-11.900806600249069</v>
      </c>
      <c r="F40" s="37">
        <f t="shared" si="6"/>
        <v>-2.0135675840597855</v>
      </c>
      <c r="G40" s="37">
        <f t="shared" si="6"/>
        <v>12.891727186749705</v>
      </c>
      <c r="H40" s="37">
        <f t="shared" si="6"/>
        <v>21.380282238528366</v>
      </c>
      <c r="I40" s="37">
        <f t="shared" si="6"/>
        <v>31.956699829936326</v>
      </c>
      <c r="J40" s="37">
        <f t="shared" si="6"/>
        <v>38.443799594374298</v>
      </c>
      <c r="K40" s="37">
        <f t="shared" si="6"/>
        <v>38.825888313798544</v>
      </c>
      <c r="L40" s="37">
        <f t="shared" si="6"/>
        <v>37.826247651442031</v>
      </c>
      <c r="M40" s="37">
        <f t="shared" si="6"/>
        <v>55.332253439434339</v>
      </c>
      <c r="N40" s="37">
        <f t="shared" si="6"/>
        <v>0</v>
      </c>
      <c r="O40" s="37">
        <f t="shared" si="6"/>
        <v>0</v>
      </c>
    </row>
    <row r="41" spans="1:15" s="14" customFormat="1" ht="45.65" customHeight="1" x14ac:dyDescent="0.35">
      <c r="B41" s="12"/>
      <c r="C41" s="23"/>
      <c r="D41" s="28"/>
      <c r="E41" s="28"/>
      <c r="F41" s="28"/>
      <c r="G41" s="28"/>
      <c r="H41" s="28"/>
      <c r="I41" s="28"/>
      <c r="J41" s="28"/>
      <c r="K41" s="28"/>
      <c r="L41" s="28"/>
      <c r="M41" s="28"/>
      <c r="N41" s="28"/>
      <c r="O41" s="28"/>
    </row>
    <row r="42" spans="1:15" s="43" customFormat="1" ht="30.5" customHeight="1" x14ac:dyDescent="0.35">
      <c r="A42" s="111" t="s">
        <v>188</v>
      </c>
      <c r="B42" s="42"/>
      <c r="C42" s="72"/>
      <c r="D42" s="146"/>
      <c r="E42" s="146"/>
      <c r="F42" s="146"/>
      <c r="G42" s="146"/>
      <c r="H42" s="146"/>
      <c r="I42" s="146"/>
      <c r="J42" s="146"/>
      <c r="K42" s="146"/>
      <c r="L42" s="146"/>
      <c r="M42" s="146"/>
      <c r="N42" s="146"/>
      <c r="O42" s="146"/>
    </row>
    <row r="43" spans="1:15" s="12" customFormat="1" ht="13" x14ac:dyDescent="0.3">
      <c r="A43" s="15" t="s">
        <v>362</v>
      </c>
      <c r="C43" s="120"/>
      <c r="D43" s="160"/>
      <c r="E43" s="160"/>
      <c r="F43" s="160"/>
      <c r="G43" s="160"/>
      <c r="H43" s="160"/>
      <c r="I43" s="160"/>
      <c r="J43" s="160"/>
      <c r="K43" s="160"/>
      <c r="L43" s="160"/>
      <c r="M43" s="160"/>
      <c r="N43" s="160"/>
      <c r="O43" s="160"/>
    </row>
    <row r="44" spans="1:15" s="12" customFormat="1" ht="13" x14ac:dyDescent="0.3">
      <c r="A44" s="15" t="s">
        <v>363</v>
      </c>
      <c r="C44" s="120"/>
      <c r="D44" s="160"/>
      <c r="E44" s="160"/>
      <c r="F44" s="160"/>
      <c r="G44" s="160"/>
      <c r="H44" s="160"/>
      <c r="I44" s="160"/>
      <c r="J44" s="160"/>
      <c r="K44" s="160"/>
      <c r="L44" s="160"/>
      <c r="M44" s="160"/>
      <c r="N44" s="160"/>
      <c r="O44" s="160"/>
    </row>
    <row r="45" spans="1:15" s="12" customFormat="1" ht="13" x14ac:dyDescent="0.3">
      <c r="A45" s="235" t="str">
        <f>'Sales &amp; Revenue'!A78</f>
        <v>Total Revenue</v>
      </c>
      <c r="B45" s="235" t="str">
        <f>'Sales &amp; Revenue'!B78</f>
        <v>US$ 000  Real (incl VAT)</v>
      </c>
      <c r="C45" s="236">
        <f>'Sales &amp; Revenue'!C78</f>
        <v>31272.727211008638</v>
      </c>
      <c r="D45" s="244">
        <f>'Sales &amp; Revenue'!D78</f>
        <v>1850</v>
      </c>
      <c r="E45" s="244">
        <f>'Sales &amp; Revenue'!E78</f>
        <v>1926.3775000000001</v>
      </c>
      <c r="F45" s="244">
        <f>'Sales &amp; Revenue'!F78</f>
        <v>2085.6046200000001</v>
      </c>
      <c r="G45" s="244">
        <f>'Sales &amp; Revenue'!G78</f>
        <v>2445.6427758400005</v>
      </c>
      <c r="H45" s="244">
        <f>'Sales &amp; Revenue'!H78</f>
        <v>2998.2941282817605</v>
      </c>
      <c r="I45" s="244">
        <f>'Sales &amp; Revenue'!I78</f>
        <v>3652.6335215073418</v>
      </c>
      <c r="J45" s="244">
        <f>'Sales &amp; Revenue'!J78</f>
        <v>4010.1635451301709</v>
      </c>
      <c r="K45" s="244">
        <f>'Sales &amp; Revenue'!K78</f>
        <v>4055.3160632394938</v>
      </c>
      <c r="L45" s="244">
        <f>'Sales &amp; Revenue'!L78</f>
        <v>4101.1167244425988</v>
      </c>
      <c r="M45" s="244">
        <f>'Sales &amp; Revenue'!M78</f>
        <v>4147.578332567271</v>
      </c>
      <c r="N45" s="244">
        <f>'Sales &amp; Revenue'!N78</f>
        <v>0</v>
      </c>
      <c r="O45" s="244">
        <f>'Sales &amp; Revenue'!O78</f>
        <v>0</v>
      </c>
    </row>
    <row r="46" spans="1:15" s="12" customFormat="1" ht="13" x14ac:dyDescent="0.3">
      <c r="A46" s="74" t="str">
        <f>A33</f>
        <v>VAT paid on Revenues</v>
      </c>
      <c r="B46" s="74" t="str">
        <f>B33</f>
        <v>US$ 000  Real</v>
      </c>
      <c r="C46" s="164">
        <f>SUM(D46:O46)</f>
        <v>2615.2198951886694</v>
      </c>
      <c r="D46" s="226">
        <f t="shared" ref="D46:O46" si="7">D33</f>
        <v>160.90909090909096</v>
      </c>
      <c r="E46" s="226">
        <f t="shared" si="7"/>
        <v>166.86727272727279</v>
      </c>
      <c r="F46" s="226">
        <f t="shared" si="7"/>
        <v>179.88292000000007</v>
      </c>
      <c r="G46" s="226">
        <f t="shared" si="7"/>
        <v>208.53991144000011</v>
      </c>
      <c r="H46" s="226">
        <f t="shared" si="7"/>
        <v>250.83894348016017</v>
      </c>
      <c r="I46" s="226">
        <f t="shared" si="7"/>
        <v>302.75028286430387</v>
      </c>
      <c r="J46" s="226">
        <f t="shared" si="7"/>
        <v>331.65219878456111</v>
      </c>
      <c r="K46" s="226">
        <f t="shared" si="7"/>
        <v>334.76972945313588</v>
      </c>
      <c r="L46" s="226">
        <f t="shared" si="7"/>
        <v>337.91656490999543</v>
      </c>
      <c r="M46" s="226">
        <f t="shared" si="7"/>
        <v>341.09298062014938</v>
      </c>
      <c r="N46" s="226">
        <f t="shared" si="7"/>
        <v>0</v>
      </c>
      <c r="O46" s="226">
        <f t="shared" si="7"/>
        <v>0</v>
      </c>
    </row>
    <row r="47" spans="1:15" s="12" customFormat="1" ht="13" x14ac:dyDescent="0.3">
      <c r="A47" s="184" t="s">
        <v>30</v>
      </c>
      <c r="B47" s="185" t="s">
        <v>31</v>
      </c>
      <c r="C47" s="164"/>
      <c r="D47" s="247">
        <v>0.01</v>
      </c>
      <c r="E47" s="186">
        <f t="shared" ref="E47:O47" si="8">D47</f>
        <v>0.01</v>
      </c>
      <c r="F47" s="186">
        <f t="shared" si="8"/>
        <v>0.01</v>
      </c>
      <c r="G47" s="186">
        <f t="shared" si="8"/>
        <v>0.01</v>
      </c>
      <c r="H47" s="186">
        <f t="shared" si="8"/>
        <v>0.01</v>
      </c>
      <c r="I47" s="186">
        <f t="shared" si="8"/>
        <v>0.01</v>
      </c>
      <c r="J47" s="186">
        <f t="shared" si="8"/>
        <v>0.01</v>
      </c>
      <c r="K47" s="186">
        <f t="shared" si="8"/>
        <v>0.01</v>
      </c>
      <c r="L47" s="186">
        <f t="shared" si="8"/>
        <v>0.01</v>
      </c>
      <c r="M47" s="186">
        <f t="shared" si="8"/>
        <v>0.01</v>
      </c>
      <c r="N47" s="186">
        <f t="shared" si="8"/>
        <v>0.01</v>
      </c>
      <c r="O47" s="186">
        <f t="shared" si="8"/>
        <v>0.01</v>
      </c>
    </row>
    <row r="48" spans="1:15" s="25" customFormat="1" x14ac:dyDescent="0.35">
      <c r="A48" s="25" t="str">
        <f>A42</f>
        <v>4c.  Minimum Tax</v>
      </c>
      <c r="B48" s="55" t="s">
        <v>17</v>
      </c>
      <c r="C48" s="23"/>
      <c r="D48" s="37">
        <f>(D45-D46)*D47</f>
        <v>16.890909090909091</v>
      </c>
      <c r="E48" s="37">
        <f t="shared" ref="E48:O48" si="9">(E45-E46)*E47</f>
        <v>17.595102272727271</v>
      </c>
      <c r="F48" s="37">
        <f t="shared" si="9"/>
        <v>19.057217000000001</v>
      </c>
      <c r="G48" s="37">
        <f t="shared" si="9"/>
        <v>22.371028644000003</v>
      </c>
      <c r="H48" s="37">
        <f t="shared" si="9"/>
        <v>27.474551848016006</v>
      </c>
      <c r="I48" s="37">
        <f t="shared" si="9"/>
        <v>33.498832386430379</v>
      </c>
      <c r="J48" s="37">
        <f t="shared" si="9"/>
        <v>36.785113463456099</v>
      </c>
      <c r="K48" s="37">
        <f t="shared" si="9"/>
        <v>37.205463337863584</v>
      </c>
      <c r="L48" s="37">
        <f t="shared" si="9"/>
        <v>37.632001595326031</v>
      </c>
      <c r="M48" s="37">
        <f t="shared" si="9"/>
        <v>38.064853519471221</v>
      </c>
      <c r="N48" s="37">
        <f t="shared" si="9"/>
        <v>0</v>
      </c>
      <c r="O48" s="37">
        <f t="shared" si="9"/>
        <v>0</v>
      </c>
    </row>
    <row r="49" spans="1:15" s="14" customFormat="1" ht="22.5" customHeight="1" x14ac:dyDescent="0.35">
      <c r="B49" s="12"/>
      <c r="C49" s="23"/>
      <c r="D49" s="28"/>
      <c r="E49" s="28"/>
      <c r="F49" s="28"/>
      <c r="G49" s="28"/>
      <c r="H49" s="28"/>
      <c r="I49" s="28"/>
      <c r="J49" s="28"/>
      <c r="K49" s="28"/>
      <c r="L49" s="28"/>
      <c r="M49" s="28"/>
      <c r="N49" s="28"/>
      <c r="O49" s="28"/>
    </row>
    <row r="50" spans="1:15" s="43" customFormat="1" ht="30.5" customHeight="1" x14ac:dyDescent="0.35">
      <c r="A50" s="111" t="s">
        <v>368</v>
      </c>
      <c r="B50" s="42"/>
      <c r="C50" s="72"/>
      <c r="D50" s="146"/>
      <c r="E50" s="146"/>
      <c r="F50" s="146"/>
      <c r="G50" s="146"/>
      <c r="H50" s="146"/>
      <c r="I50" s="146"/>
      <c r="J50" s="146"/>
      <c r="K50" s="146"/>
      <c r="L50" s="146"/>
      <c r="M50" s="146"/>
      <c r="N50" s="146"/>
      <c r="O50" s="146"/>
    </row>
    <row r="51" spans="1:15" s="12" customFormat="1" ht="13" x14ac:dyDescent="0.3">
      <c r="A51" s="15" t="s">
        <v>364</v>
      </c>
      <c r="C51" s="120"/>
      <c r="D51" s="160"/>
      <c r="E51" s="160"/>
      <c r="F51" s="160"/>
      <c r="G51" s="160"/>
      <c r="H51" s="160"/>
      <c r="I51" s="160"/>
      <c r="J51" s="160"/>
      <c r="K51" s="160"/>
      <c r="L51" s="160"/>
      <c r="M51" s="160"/>
      <c r="N51" s="160"/>
      <c r="O51" s="160"/>
    </row>
    <row r="52" spans="1:15" s="12" customFormat="1" ht="13" x14ac:dyDescent="0.3">
      <c r="A52" s="15" t="s">
        <v>365</v>
      </c>
      <c r="C52" s="120"/>
      <c r="D52" s="160"/>
      <c r="E52" s="160"/>
      <c r="F52" s="160"/>
      <c r="G52" s="160"/>
      <c r="H52" s="160"/>
      <c r="I52" s="160"/>
      <c r="J52" s="160"/>
      <c r="K52" s="160"/>
      <c r="L52" s="160"/>
      <c r="M52" s="160"/>
      <c r="N52" s="160"/>
      <c r="O52" s="160"/>
    </row>
    <row r="53" spans="1:15" s="12" customFormat="1" ht="13" x14ac:dyDescent="0.3">
      <c r="A53" s="15" t="s">
        <v>366</v>
      </c>
      <c r="C53" s="120"/>
      <c r="D53" s="160"/>
      <c r="E53" s="160"/>
      <c r="F53" s="160"/>
      <c r="G53" s="160"/>
      <c r="H53" s="160"/>
      <c r="I53" s="160"/>
      <c r="J53" s="160"/>
      <c r="K53" s="160"/>
      <c r="L53" s="160"/>
      <c r="M53" s="160"/>
      <c r="N53" s="160"/>
      <c r="O53" s="160"/>
    </row>
    <row r="54" spans="1:15" s="14" customFormat="1" x14ac:dyDescent="0.35">
      <c r="A54" s="27"/>
      <c r="B54" s="12"/>
      <c r="C54" s="23"/>
      <c r="D54" s="24"/>
      <c r="E54" s="24"/>
      <c r="F54" s="24"/>
      <c r="G54" s="24"/>
      <c r="H54" s="24"/>
      <c r="I54" s="24"/>
      <c r="J54" s="24"/>
      <c r="K54" s="24"/>
      <c r="L54" s="24"/>
      <c r="M54" s="24"/>
      <c r="N54" s="24"/>
      <c r="O54" s="24"/>
    </row>
    <row r="55" spans="1:15" s="12" customFormat="1" ht="13" x14ac:dyDescent="0.3">
      <c r="A55" s="235" t="str">
        <f>'Sales &amp; Revenue'!A78</f>
        <v>Total Revenue</v>
      </c>
      <c r="B55" s="235" t="str">
        <f>'Sales &amp; Revenue'!B78</f>
        <v>US$ 000  Real (incl VAT)</v>
      </c>
      <c r="C55" s="236">
        <f>'Sales &amp; Revenue'!C78</f>
        <v>31272.727211008638</v>
      </c>
      <c r="D55" s="244">
        <f>'Sales &amp; Revenue'!D78</f>
        <v>1850</v>
      </c>
      <c r="E55" s="244">
        <f>'Sales &amp; Revenue'!E78</f>
        <v>1926.3775000000001</v>
      </c>
      <c r="F55" s="244">
        <f>'Sales &amp; Revenue'!F78</f>
        <v>2085.6046200000001</v>
      </c>
      <c r="G55" s="244">
        <f>'Sales &amp; Revenue'!G78</f>
        <v>2445.6427758400005</v>
      </c>
      <c r="H55" s="244">
        <f>'Sales &amp; Revenue'!H78</f>
        <v>2998.2941282817605</v>
      </c>
      <c r="I55" s="244">
        <f>'Sales &amp; Revenue'!I78</f>
        <v>3652.6335215073418</v>
      </c>
      <c r="J55" s="244">
        <f>'Sales &amp; Revenue'!J78</f>
        <v>4010.1635451301709</v>
      </c>
      <c r="K55" s="244">
        <f>'Sales &amp; Revenue'!K78</f>
        <v>4055.3160632394938</v>
      </c>
      <c r="L55" s="244">
        <f>'Sales &amp; Revenue'!L78</f>
        <v>4101.1167244425988</v>
      </c>
      <c r="M55" s="244">
        <f>'Sales &amp; Revenue'!M78</f>
        <v>4147.578332567271</v>
      </c>
      <c r="N55" s="244">
        <f>'Sales &amp; Revenue'!N78</f>
        <v>0</v>
      </c>
      <c r="O55" s="244">
        <f>'Sales &amp; Revenue'!O78</f>
        <v>0</v>
      </c>
    </row>
    <row r="56" spans="1:15" s="70" customFormat="1" ht="18.649999999999999" customHeight="1" x14ac:dyDescent="0.3">
      <c r="A56" s="259" t="s">
        <v>367</v>
      </c>
      <c r="C56" s="164"/>
      <c r="D56" s="165"/>
      <c r="E56" s="165"/>
      <c r="F56" s="165"/>
      <c r="G56" s="165"/>
      <c r="H56" s="165"/>
      <c r="I56" s="165"/>
      <c r="J56" s="165"/>
      <c r="K56" s="165"/>
      <c r="L56" s="165"/>
      <c r="M56" s="165"/>
      <c r="N56" s="165"/>
      <c r="O56" s="165"/>
    </row>
    <row r="57" spans="1:15" s="12" customFormat="1" ht="13" x14ac:dyDescent="0.3">
      <c r="A57" s="235" t="str">
        <f>'Capital &amp; Operating Costs'!A158</f>
        <v>3c.  Total Operating 'Expenses'</v>
      </c>
      <c r="B57" s="235" t="str">
        <f>'Capital &amp; Operating Costs'!B158</f>
        <v>US$ 000 Real</v>
      </c>
      <c r="C57" s="236">
        <f>'Capital &amp; Operating Costs'!C158</f>
        <v>25434.689030251066</v>
      </c>
      <c r="D57" s="244">
        <f>'Capital &amp; Operating Costs'!D158</f>
        <v>1722.4379479452055</v>
      </c>
      <c r="E57" s="244">
        <f>'Capital &amp; Operating Costs'!E158</f>
        <v>1691.4488726027398</v>
      </c>
      <c r="F57" s="244">
        <f>'Capital &amp; Operating Costs'!F158</f>
        <v>1825.8613634246578</v>
      </c>
      <c r="G57" s="244">
        <f>'Capital &amp; Operating Costs'!G158</f>
        <v>2097.1300267857537</v>
      </c>
      <c r="H57" s="244">
        <f>'Capital &amp; Operating Costs'!H158</f>
        <v>2469.0452736579491</v>
      </c>
      <c r="I57" s="244">
        <f>'Capital &amp; Operating Costs'!I158</f>
        <v>2923.729413378042</v>
      </c>
      <c r="J57" s="244">
        <f>'Capital &amp; Operating Costs'!J158</f>
        <v>3170.2923910920535</v>
      </c>
      <c r="K57" s="244">
        <f>'Capital &amp; Operating Costs'!K158</f>
        <v>3200.3822525327096</v>
      </c>
      <c r="L57" s="244">
        <f>'Capital &amp; Operating Costs'!L158</f>
        <v>3245.9934898440861</v>
      </c>
      <c r="M57" s="244">
        <f>'Capital &amp; Operating Costs'!M158</f>
        <v>3088.3679989878642</v>
      </c>
      <c r="N57" s="244">
        <f>'Capital &amp; Operating Costs'!N158</f>
        <v>0</v>
      </c>
      <c r="O57" s="244">
        <f>'Capital &amp; Operating Costs'!O158</f>
        <v>0</v>
      </c>
    </row>
    <row r="58" spans="1:15" s="12" customFormat="1" ht="13" x14ac:dyDescent="0.3">
      <c r="A58" s="74" t="str">
        <f>A23</f>
        <v>4a.  Withholding Tax ("WHT")</v>
      </c>
      <c r="B58" s="74" t="str">
        <f>B23</f>
        <v>US$ 000  Real</v>
      </c>
      <c r="C58" s="164">
        <f t="shared" ref="C58:C61" si="10">SUM(D58:O58)</f>
        <v>52.000000000000007</v>
      </c>
      <c r="D58" s="226">
        <f t="shared" ref="D58:O58" si="11">D23</f>
        <v>5.2</v>
      </c>
      <c r="E58" s="226">
        <f t="shared" si="11"/>
        <v>5.2</v>
      </c>
      <c r="F58" s="226">
        <f t="shared" si="11"/>
        <v>5.2</v>
      </c>
      <c r="G58" s="226">
        <f t="shared" si="11"/>
        <v>5.2</v>
      </c>
      <c r="H58" s="226">
        <f t="shared" si="11"/>
        <v>5.2</v>
      </c>
      <c r="I58" s="226">
        <f t="shared" si="11"/>
        <v>5.2</v>
      </c>
      <c r="J58" s="226">
        <f t="shared" si="11"/>
        <v>5.2</v>
      </c>
      <c r="K58" s="226">
        <f t="shared" si="11"/>
        <v>5.2</v>
      </c>
      <c r="L58" s="226">
        <f t="shared" si="11"/>
        <v>5.2</v>
      </c>
      <c r="M58" s="226">
        <f t="shared" si="11"/>
        <v>5.2</v>
      </c>
      <c r="N58" s="226">
        <f t="shared" si="11"/>
        <v>0</v>
      </c>
      <c r="O58" s="226">
        <f t="shared" si="11"/>
        <v>0</v>
      </c>
    </row>
    <row r="59" spans="1:15" s="12" customFormat="1" ht="13" x14ac:dyDescent="0.3">
      <c r="A59" s="74" t="str">
        <f>A40</f>
        <v>4b.  VAT - net paid/(net refunded)</v>
      </c>
      <c r="B59" s="74" t="str">
        <f>B40</f>
        <v>US$ 000  Real</v>
      </c>
      <c r="C59" s="218">
        <f t="shared" si="10"/>
        <v>198.42998334766335</v>
      </c>
      <c r="D59" s="226">
        <f t="shared" ref="D59:O59" si="12">D40</f>
        <v>-24.312540722291402</v>
      </c>
      <c r="E59" s="226">
        <f t="shared" si="12"/>
        <v>-11.900806600249069</v>
      </c>
      <c r="F59" s="226">
        <f t="shared" si="12"/>
        <v>-2.0135675840597855</v>
      </c>
      <c r="G59" s="226">
        <f t="shared" si="12"/>
        <v>12.891727186749705</v>
      </c>
      <c r="H59" s="226">
        <f t="shared" si="12"/>
        <v>21.380282238528366</v>
      </c>
      <c r="I59" s="226">
        <f t="shared" si="12"/>
        <v>31.956699829936326</v>
      </c>
      <c r="J59" s="226">
        <f t="shared" si="12"/>
        <v>38.443799594374298</v>
      </c>
      <c r="K59" s="226">
        <f t="shared" si="12"/>
        <v>38.825888313798544</v>
      </c>
      <c r="L59" s="226">
        <f t="shared" si="12"/>
        <v>37.826247651442031</v>
      </c>
      <c r="M59" s="226">
        <f t="shared" si="12"/>
        <v>55.332253439434339</v>
      </c>
      <c r="N59" s="226">
        <f t="shared" si="12"/>
        <v>0</v>
      </c>
      <c r="O59" s="226">
        <f t="shared" si="12"/>
        <v>0</v>
      </c>
    </row>
    <row r="60" spans="1:15" s="12" customFormat="1" ht="13" x14ac:dyDescent="0.3">
      <c r="A60" s="235" t="str">
        <f>'Capital &amp; Operating Costs'!A45</f>
        <v>Tax deductions  ('tax depreciation')</v>
      </c>
      <c r="B60" s="235" t="str">
        <f>'Capital &amp; Operating Costs'!B45</f>
        <v>US$ 000 Real</v>
      </c>
      <c r="C60" s="236">
        <f>'Capital &amp; Operating Costs'!C45</f>
        <v>965.87778281292219</v>
      </c>
      <c r="D60" s="244">
        <f>'Capital &amp; Operating Costs'!D45</f>
        <v>72.449999999999989</v>
      </c>
      <c r="E60" s="244">
        <f>'Capital &amp; Operating Costs'!E45</f>
        <v>114.90416666666665</v>
      </c>
      <c r="F60" s="244">
        <f>'Capital &amp; Operating Costs'!F45</f>
        <v>122.17241512345677</v>
      </c>
      <c r="G60" s="244">
        <f>'Capital &amp; Operating Costs'!G45</f>
        <v>99.754407078760821</v>
      </c>
      <c r="H60" s="244">
        <f>'Capital &amp; Operating Costs'!H45</f>
        <v>83.771197639486886</v>
      </c>
      <c r="I60" s="244">
        <f>'Capital &amp; Operating Costs'!I45</f>
        <v>72.375761280004539</v>
      </c>
      <c r="J60" s="244">
        <f>'Capital &amp; Operating Costs'!J45</f>
        <v>64.251237208892107</v>
      </c>
      <c r="K60" s="244">
        <f>'Capital &amp; Operating Costs'!K45</f>
        <v>58.458752454487893</v>
      </c>
      <c r="L60" s="244">
        <f>'Capital &amp; Operating Costs'!L45</f>
        <v>54.328925361070063</v>
      </c>
      <c r="M60" s="244">
        <f>'Capital &amp; Operating Costs'!M45</f>
        <v>223.41092000009641</v>
      </c>
      <c r="N60" s="244">
        <f>'Capital &amp; Operating Costs'!N45</f>
        <v>0</v>
      </c>
      <c r="O60" s="244">
        <f>'Capital &amp; Operating Costs'!O45</f>
        <v>0</v>
      </c>
    </row>
    <row r="61" spans="1:15" s="12" customFormat="1" ht="13" x14ac:dyDescent="0.3">
      <c r="A61" s="74" t="s">
        <v>28</v>
      </c>
      <c r="B61" s="75" t="s">
        <v>17</v>
      </c>
      <c r="C61" s="164">
        <f t="shared" si="10"/>
        <v>4621.730414596992</v>
      </c>
      <c r="D61" s="228">
        <f>D55-SUM(D57:D60)</f>
        <v>74.224592777085945</v>
      </c>
      <c r="E61" s="228">
        <f t="shared" ref="E61:O61" si="13">E55-SUM(E57:E60)</f>
        <v>126.7252673308426</v>
      </c>
      <c r="F61" s="228">
        <f t="shared" si="13"/>
        <v>134.38440903594505</v>
      </c>
      <c r="G61" s="228">
        <f>G55-SUM(G57:G60)</f>
        <v>230.6666147887363</v>
      </c>
      <c r="H61" s="228">
        <f t="shared" si="13"/>
        <v>418.8973747457967</v>
      </c>
      <c r="I61" s="228">
        <f t="shared" si="13"/>
        <v>619.37164701935899</v>
      </c>
      <c r="J61" s="228">
        <f t="shared" si="13"/>
        <v>731.97611723485079</v>
      </c>
      <c r="K61" s="228">
        <f t="shared" si="13"/>
        <v>752.44916993849802</v>
      </c>
      <c r="L61" s="228">
        <f t="shared" si="13"/>
        <v>757.76806158600084</v>
      </c>
      <c r="M61" s="228">
        <f t="shared" si="13"/>
        <v>775.26716013987652</v>
      </c>
      <c r="N61" s="228">
        <f t="shared" si="13"/>
        <v>0</v>
      </c>
      <c r="O61" s="228">
        <f t="shared" si="13"/>
        <v>0</v>
      </c>
    </row>
    <row r="62" spans="1:15" s="12" customFormat="1" ht="13.5" thickBot="1" x14ac:dyDescent="0.35">
      <c r="A62" s="74"/>
      <c r="C62" s="164"/>
      <c r="D62" s="226"/>
      <c r="E62" s="226"/>
      <c r="F62" s="226"/>
      <c r="G62" s="226"/>
      <c r="H62" s="226"/>
      <c r="I62" s="226"/>
      <c r="J62" s="226"/>
      <c r="K62" s="226"/>
      <c r="L62" s="226"/>
      <c r="M62" s="226"/>
      <c r="N62" s="226"/>
      <c r="O62" s="226"/>
    </row>
    <row r="63" spans="1:15" s="12" customFormat="1" ht="15" thickBot="1" x14ac:dyDescent="0.4">
      <c r="A63" s="74" t="s">
        <v>262</v>
      </c>
      <c r="B63" s="75" t="s">
        <v>17</v>
      </c>
      <c r="C63" s="164"/>
      <c r="D63" s="268">
        <v>0</v>
      </c>
      <c r="E63" s="226">
        <f>D66</f>
        <v>0</v>
      </c>
      <c r="F63" s="226">
        <f t="shared" ref="F63:O63" si="14">E66</f>
        <v>0</v>
      </c>
      <c r="G63" s="226">
        <f t="shared" si="14"/>
        <v>0</v>
      </c>
      <c r="H63" s="226">
        <f t="shared" si="14"/>
        <v>0</v>
      </c>
      <c r="I63" s="226">
        <f t="shared" si="14"/>
        <v>0</v>
      </c>
      <c r="J63" s="226">
        <f t="shared" si="14"/>
        <v>0</v>
      </c>
      <c r="K63" s="226">
        <f t="shared" si="14"/>
        <v>0</v>
      </c>
      <c r="L63" s="226">
        <f t="shared" si="14"/>
        <v>0</v>
      </c>
      <c r="M63" s="226">
        <f t="shared" si="14"/>
        <v>0</v>
      </c>
      <c r="N63" s="226">
        <f t="shared" si="14"/>
        <v>0</v>
      </c>
      <c r="O63" s="226">
        <f t="shared" si="14"/>
        <v>0</v>
      </c>
    </row>
    <row r="64" spans="1:15" s="12" customFormat="1" ht="13" x14ac:dyDescent="0.3">
      <c r="A64" s="74" t="s">
        <v>29</v>
      </c>
      <c r="B64" s="75" t="s">
        <v>17</v>
      </c>
      <c r="C64" s="164"/>
      <c r="D64" s="226">
        <f>D63+D61</f>
        <v>74.224592777085945</v>
      </c>
      <c r="E64" s="226">
        <f>E63+E61</f>
        <v>126.7252673308426</v>
      </c>
      <c r="F64" s="226">
        <f t="shared" ref="F64:O64" si="15">F63+F61</f>
        <v>134.38440903594505</v>
      </c>
      <c r="G64" s="226">
        <f t="shared" si="15"/>
        <v>230.6666147887363</v>
      </c>
      <c r="H64" s="226">
        <f t="shared" si="15"/>
        <v>418.8973747457967</v>
      </c>
      <c r="I64" s="226">
        <f t="shared" si="15"/>
        <v>619.37164701935899</v>
      </c>
      <c r="J64" s="226">
        <f t="shared" si="15"/>
        <v>731.97611723485079</v>
      </c>
      <c r="K64" s="226">
        <f t="shared" si="15"/>
        <v>752.44916993849802</v>
      </c>
      <c r="L64" s="226">
        <f t="shared" si="15"/>
        <v>757.76806158600084</v>
      </c>
      <c r="M64" s="226">
        <f t="shared" si="15"/>
        <v>775.26716013987652</v>
      </c>
      <c r="N64" s="226">
        <f t="shared" si="15"/>
        <v>0</v>
      </c>
      <c r="O64" s="226">
        <f t="shared" si="15"/>
        <v>0</v>
      </c>
    </row>
    <row r="65" spans="1:29" s="13" customFormat="1" ht="13" x14ac:dyDescent="0.3">
      <c r="A65" s="215" t="s">
        <v>51</v>
      </c>
      <c r="B65" s="75" t="s">
        <v>17</v>
      </c>
      <c r="C65" s="164">
        <f t="shared" ref="C65" si="16">SUM(D65:O65)</f>
        <v>4621.730414596992</v>
      </c>
      <c r="D65" s="218">
        <f>IF(D64&lt;0,0,D64)</f>
        <v>74.224592777085945</v>
      </c>
      <c r="E65" s="218">
        <f>IF(E64&lt;0,0,E64)</f>
        <v>126.7252673308426</v>
      </c>
      <c r="F65" s="218">
        <f t="shared" ref="F65:O65" si="17">IF(F64&lt;0,0,F64)</f>
        <v>134.38440903594505</v>
      </c>
      <c r="G65" s="218">
        <f t="shared" si="17"/>
        <v>230.6666147887363</v>
      </c>
      <c r="H65" s="218">
        <f t="shared" si="17"/>
        <v>418.8973747457967</v>
      </c>
      <c r="I65" s="218">
        <f t="shared" si="17"/>
        <v>619.37164701935899</v>
      </c>
      <c r="J65" s="218">
        <f t="shared" si="17"/>
        <v>731.97611723485079</v>
      </c>
      <c r="K65" s="218">
        <f t="shared" si="17"/>
        <v>752.44916993849802</v>
      </c>
      <c r="L65" s="218">
        <f t="shared" si="17"/>
        <v>757.76806158600084</v>
      </c>
      <c r="M65" s="218">
        <f t="shared" si="17"/>
        <v>775.26716013987652</v>
      </c>
      <c r="N65" s="218">
        <f t="shared" si="17"/>
        <v>0</v>
      </c>
      <c r="O65" s="218">
        <f t="shared" si="17"/>
        <v>0</v>
      </c>
    </row>
    <row r="66" spans="1:29" s="12" customFormat="1" ht="13" x14ac:dyDescent="0.3">
      <c r="A66" s="74" t="s">
        <v>263</v>
      </c>
      <c r="B66" s="75" t="s">
        <v>17</v>
      </c>
      <c r="C66" s="164"/>
      <c r="D66" s="226">
        <f>IF(D64&lt;0,D64,0)</f>
        <v>0</v>
      </c>
      <c r="E66" s="226">
        <f>IF(E64&lt;0,E64,0)</f>
        <v>0</v>
      </c>
      <c r="F66" s="226">
        <f t="shared" ref="F66:O66" si="18">IF(F64&lt;0,F64,0)</f>
        <v>0</v>
      </c>
      <c r="G66" s="226">
        <f t="shared" si="18"/>
        <v>0</v>
      </c>
      <c r="H66" s="226">
        <f t="shared" si="18"/>
        <v>0</v>
      </c>
      <c r="I66" s="226">
        <f t="shared" si="18"/>
        <v>0</v>
      </c>
      <c r="J66" s="226">
        <f t="shared" si="18"/>
        <v>0</v>
      </c>
      <c r="K66" s="226">
        <f t="shared" si="18"/>
        <v>0</v>
      </c>
      <c r="L66" s="226">
        <f t="shared" si="18"/>
        <v>0</v>
      </c>
      <c r="M66" s="226">
        <f t="shared" si="18"/>
        <v>0</v>
      </c>
      <c r="N66" s="226">
        <f t="shared" si="18"/>
        <v>0</v>
      </c>
      <c r="O66" s="226">
        <f t="shared" si="18"/>
        <v>0</v>
      </c>
    </row>
    <row r="67" spans="1:29" s="12" customFormat="1" ht="13" x14ac:dyDescent="0.3">
      <c r="A67" s="74"/>
      <c r="C67" s="164"/>
      <c r="D67" s="165"/>
      <c r="E67" s="165"/>
      <c r="F67" s="165"/>
      <c r="G67" s="165"/>
      <c r="H67" s="165"/>
      <c r="I67" s="165"/>
      <c r="J67" s="165"/>
      <c r="K67" s="165"/>
      <c r="L67" s="165"/>
      <c r="M67" s="165"/>
      <c r="N67" s="165"/>
      <c r="O67" s="165"/>
    </row>
    <row r="68" spans="1:29" s="12" customFormat="1" ht="13" x14ac:dyDescent="0.3">
      <c r="A68" s="184" t="s">
        <v>211</v>
      </c>
      <c r="B68" s="185" t="s">
        <v>9</v>
      </c>
      <c r="C68" s="164"/>
      <c r="D68" s="247">
        <v>0.25</v>
      </c>
      <c r="E68" s="186">
        <f>D68</f>
        <v>0.25</v>
      </c>
      <c r="F68" s="186">
        <f>E68</f>
        <v>0.25</v>
      </c>
      <c r="G68" s="186">
        <f t="shared" ref="G68" si="19">F68</f>
        <v>0.25</v>
      </c>
      <c r="H68" s="186">
        <f t="shared" ref="H68" si="20">G68</f>
        <v>0.25</v>
      </c>
      <c r="I68" s="186">
        <f t="shared" ref="I68" si="21">H68</f>
        <v>0.25</v>
      </c>
      <c r="J68" s="186">
        <f t="shared" ref="J68" si="22">I68</f>
        <v>0.25</v>
      </c>
      <c r="K68" s="186">
        <f t="shared" ref="K68" si="23">J68</f>
        <v>0.25</v>
      </c>
      <c r="L68" s="186">
        <f t="shared" ref="L68" si="24">K68</f>
        <v>0.25</v>
      </c>
      <c r="M68" s="186">
        <f t="shared" ref="M68" si="25">L68</f>
        <v>0.25</v>
      </c>
      <c r="N68" s="186">
        <f t="shared" ref="N68" si="26">M68</f>
        <v>0.25</v>
      </c>
      <c r="O68" s="186">
        <f t="shared" ref="O68" si="27">N68</f>
        <v>0.25</v>
      </c>
    </row>
    <row r="69" spans="1:29" s="25" customFormat="1" x14ac:dyDescent="0.35">
      <c r="A69" s="25" t="s">
        <v>369</v>
      </c>
      <c r="B69" s="55" t="s">
        <v>18</v>
      </c>
      <c r="C69" s="23">
        <f>SUM(D69:O69)</f>
        <v>1155.432603649248</v>
      </c>
      <c r="D69" s="37">
        <f>D65*D68</f>
        <v>18.556148194271486</v>
      </c>
      <c r="E69" s="37">
        <f t="shared" ref="E69:O69" si="28">E65*E68</f>
        <v>31.68131683271065</v>
      </c>
      <c r="F69" s="37">
        <f t="shared" si="28"/>
        <v>33.596102258986264</v>
      </c>
      <c r="G69" s="37">
        <f t="shared" si="28"/>
        <v>57.666653697184074</v>
      </c>
      <c r="H69" s="37">
        <f t="shared" si="28"/>
        <v>104.72434368644917</v>
      </c>
      <c r="I69" s="37">
        <f t="shared" si="28"/>
        <v>154.84291175483975</v>
      </c>
      <c r="J69" s="37">
        <f t="shared" si="28"/>
        <v>182.9940293087127</v>
      </c>
      <c r="K69" s="37">
        <f t="shared" si="28"/>
        <v>188.1122924846245</v>
      </c>
      <c r="L69" s="37">
        <f t="shared" si="28"/>
        <v>189.44201539650021</v>
      </c>
      <c r="M69" s="37">
        <f t="shared" si="28"/>
        <v>193.81679003496913</v>
      </c>
      <c r="N69" s="37">
        <f t="shared" si="28"/>
        <v>0</v>
      </c>
      <c r="O69" s="37">
        <f t="shared" si="28"/>
        <v>0</v>
      </c>
    </row>
    <row r="70" spans="1:29" s="14" customFormat="1" x14ac:dyDescent="0.35">
      <c r="A70" s="25"/>
      <c r="B70" s="70"/>
      <c r="C70" s="23"/>
      <c r="D70" s="269"/>
      <c r="E70" s="269"/>
      <c r="F70" s="269"/>
      <c r="G70" s="269"/>
      <c r="H70" s="269"/>
      <c r="I70" s="269"/>
      <c r="J70" s="269"/>
      <c r="K70" s="269"/>
      <c r="L70" s="269"/>
      <c r="M70" s="269"/>
      <c r="N70" s="269"/>
      <c r="O70" s="269"/>
    </row>
    <row r="71" spans="1:29" s="43" customFormat="1" ht="30.5" customHeight="1" x14ac:dyDescent="0.35">
      <c r="A71" s="111" t="s">
        <v>370</v>
      </c>
      <c r="B71" s="42"/>
      <c r="C71" s="72"/>
      <c r="D71" s="146"/>
      <c r="E71" s="146"/>
      <c r="F71" s="146"/>
      <c r="G71" s="146"/>
      <c r="H71" s="146"/>
      <c r="I71" s="146"/>
      <c r="J71" s="146"/>
      <c r="K71" s="146"/>
      <c r="L71" s="146"/>
      <c r="M71" s="146"/>
      <c r="N71" s="146"/>
      <c r="O71" s="146"/>
    </row>
    <row r="72" spans="1:29" s="25" customFormat="1" x14ac:dyDescent="0.35">
      <c r="A72" s="25" t="str">
        <f>A71</f>
        <v>4e  Income Tax or Minimum Tax  (before project funding)</v>
      </c>
      <c r="B72" s="55" t="s">
        <v>18</v>
      </c>
      <c r="C72" s="23">
        <f>SUM(D72:O72)</f>
        <v>1155.432603649248</v>
      </c>
      <c r="D72" s="37">
        <f t="shared" ref="D72:O72" si="29">MAX(D69,D48)</f>
        <v>18.556148194271486</v>
      </c>
      <c r="E72" s="37">
        <f t="shared" si="29"/>
        <v>31.68131683271065</v>
      </c>
      <c r="F72" s="37">
        <f t="shared" si="29"/>
        <v>33.596102258986264</v>
      </c>
      <c r="G72" s="37">
        <f t="shared" si="29"/>
        <v>57.666653697184074</v>
      </c>
      <c r="H72" s="37">
        <f t="shared" si="29"/>
        <v>104.72434368644917</v>
      </c>
      <c r="I72" s="37">
        <f t="shared" si="29"/>
        <v>154.84291175483975</v>
      </c>
      <c r="J72" s="37">
        <f t="shared" si="29"/>
        <v>182.9940293087127</v>
      </c>
      <c r="K72" s="37">
        <f t="shared" si="29"/>
        <v>188.1122924846245</v>
      </c>
      <c r="L72" s="37">
        <f t="shared" si="29"/>
        <v>189.44201539650021</v>
      </c>
      <c r="M72" s="37">
        <f t="shared" si="29"/>
        <v>193.81679003496913</v>
      </c>
      <c r="N72" s="37">
        <f t="shared" si="29"/>
        <v>0</v>
      </c>
      <c r="O72" s="37">
        <f t="shared" si="29"/>
        <v>0</v>
      </c>
    </row>
    <row r="73" spans="1:29" s="14" customFormat="1" x14ac:dyDescent="0.35">
      <c r="A73" s="25"/>
      <c r="B73" s="70"/>
      <c r="C73" s="23"/>
      <c r="D73" s="82"/>
      <c r="E73" s="82"/>
      <c r="F73" s="82"/>
      <c r="G73" s="82"/>
      <c r="H73" s="82"/>
      <c r="I73" s="82"/>
      <c r="J73" s="82"/>
      <c r="K73" s="82"/>
      <c r="L73" s="82"/>
      <c r="M73" s="82"/>
      <c r="N73" s="82"/>
      <c r="O73" s="82"/>
    </row>
    <row r="74" spans="1:29" s="144" customFormat="1" ht="36.65" customHeight="1" x14ac:dyDescent="0.3">
      <c r="A74" s="71" t="s">
        <v>8</v>
      </c>
      <c r="B74" s="70" t="s">
        <v>18</v>
      </c>
      <c r="C74" s="30">
        <f>SUM(D74:O74)</f>
        <v>1405.8625869969112</v>
      </c>
      <c r="D74" s="275">
        <f t="shared" ref="D74:O74" si="30">D23+D40+D72</f>
        <v>-0.55639252801991645</v>
      </c>
      <c r="E74" s="275">
        <f t="shared" si="30"/>
        <v>24.98051023246158</v>
      </c>
      <c r="F74" s="275">
        <f t="shared" si="30"/>
        <v>36.782534674926481</v>
      </c>
      <c r="G74" s="275">
        <f t="shared" si="30"/>
        <v>75.758380883933782</v>
      </c>
      <c r="H74" s="275">
        <f t="shared" si="30"/>
        <v>131.30462592497753</v>
      </c>
      <c r="I74" s="275">
        <f t="shared" si="30"/>
        <v>191.99961158477606</v>
      </c>
      <c r="J74" s="275">
        <f t="shared" si="30"/>
        <v>226.63782890308698</v>
      </c>
      <c r="K74" s="275">
        <f t="shared" si="30"/>
        <v>232.13818079842304</v>
      </c>
      <c r="L74" s="275">
        <f t="shared" si="30"/>
        <v>232.46826304794223</v>
      </c>
      <c r="M74" s="275">
        <f t="shared" si="30"/>
        <v>254.34904347440346</v>
      </c>
      <c r="N74" s="275">
        <f t="shared" si="30"/>
        <v>0</v>
      </c>
      <c r="O74" s="275">
        <f t="shared" si="30"/>
        <v>0</v>
      </c>
    </row>
    <row r="75" spans="1:29" x14ac:dyDescent="0.35">
      <c r="A75" s="7"/>
      <c r="D75" s="1"/>
      <c r="E75" s="1"/>
      <c r="F75" s="1"/>
      <c r="G75" s="1"/>
      <c r="H75" s="1"/>
      <c r="I75" s="1"/>
      <c r="J75" s="1"/>
      <c r="K75" s="1"/>
      <c r="L75" s="1"/>
      <c r="M75" s="1"/>
      <c r="N75" s="1"/>
      <c r="O75" s="1"/>
    </row>
    <row r="76" spans="1:29" s="271" customFormat="1" ht="30.75" customHeight="1" x14ac:dyDescent="0.35">
      <c r="A76" s="271" t="str">
        <f>A$11</f>
        <v>Years --&gt;</v>
      </c>
      <c r="B76" s="272" t="str">
        <f>B$11</f>
        <v>units</v>
      </c>
      <c r="C76" s="270" t="str">
        <f t="shared" ref="C76:O76" si="31">C$11</f>
        <v>Total</v>
      </c>
      <c r="D76" s="273">
        <f t="shared" si="31"/>
        <v>2026</v>
      </c>
      <c r="E76" s="273">
        <f t="shared" si="31"/>
        <v>2027</v>
      </c>
      <c r="F76" s="273">
        <f t="shared" si="31"/>
        <v>2028</v>
      </c>
      <c r="G76" s="273">
        <f t="shared" si="31"/>
        <v>2029</v>
      </c>
      <c r="H76" s="273">
        <f t="shared" si="31"/>
        <v>2030</v>
      </c>
      <c r="I76" s="273">
        <f t="shared" si="31"/>
        <v>2031</v>
      </c>
      <c r="J76" s="273">
        <f t="shared" si="31"/>
        <v>2032</v>
      </c>
      <c r="K76" s="273">
        <f t="shared" si="31"/>
        <v>2033</v>
      </c>
      <c r="L76" s="273">
        <f t="shared" si="31"/>
        <v>2034</v>
      </c>
      <c r="M76" s="273">
        <f t="shared" si="31"/>
        <v>2035</v>
      </c>
      <c r="N76" s="273">
        <f t="shared" si="31"/>
        <v>2036</v>
      </c>
      <c r="O76" s="273">
        <f t="shared" si="31"/>
        <v>2037</v>
      </c>
      <c r="P76" s="274"/>
      <c r="Q76" s="274"/>
      <c r="R76" s="274"/>
      <c r="S76" s="274"/>
      <c r="T76" s="274"/>
      <c r="U76" s="274"/>
      <c r="V76" s="274"/>
      <c r="W76" s="274"/>
      <c r="X76" s="274"/>
      <c r="Y76" s="274"/>
      <c r="Z76" s="274"/>
      <c r="AA76" s="274"/>
      <c r="AB76" s="274"/>
      <c r="AC76" s="274"/>
    </row>
    <row r="77" spans="1:29" s="103" customFormat="1" ht="12" x14ac:dyDescent="0.3">
      <c r="C77" s="137"/>
      <c r="D77" s="276"/>
      <c r="E77" s="276"/>
      <c r="F77" s="276"/>
      <c r="G77" s="276"/>
      <c r="H77" s="276"/>
      <c r="I77" s="276"/>
      <c r="J77" s="276"/>
      <c r="K77" s="276"/>
      <c r="L77" s="276"/>
      <c r="M77" s="276"/>
      <c r="N77" s="276"/>
      <c r="O77" s="276"/>
    </row>
    <row r="78" spans="1:29" s="103" customFormat="1" ht="12" x14ac:dyDescent="0.3">
      <c r="C78" s="137"/>
      <c r="D78" s="276"/>
      <c r="E78" s="276"/>
      <c r="F78" s="276"/>
      <c r="G78" s="276"/>
      <c r="H78" s="276"/>
      <c r="I78" s="276"/>
      <c r="J78" s="276"/>
      <c r="K78" s="276"/>
      <c r="L78" s="276"/>
      <c r="M78" s="276"/>
      <c r="N78" s="276"/>
      <c r="O78" s="276"/>
    </row>
    <row r="79" spans="1:29" s="103" customFormat="1" ht="12" x14ac:dyDescent="0.3">
      <c r="C79" s="137"/>
      <c r="D79" s="276"/>
      <c r="E79" s="276"/>
      <c r="F79" s="276"/>
      <c r="G79" s="276"/>
      <c r="H79" s="276"/>
      <c r="I79" s="276"/>
      <c r="J79" s="276"/>
      <c r="K79" s="276"/>
      <c r="L79" s="276"/>
      <c r="M79" s="276"/>
      <c r="N79" s="276"/>
      <c r="O79" s="276"/>
    </row>
    <row r="80" spans="1:29" s="103" customFormat="1" ht="12" x14ac:dyDescent="0.3">
      <c r="C80" s="137"/>
      <c r="D80" s="276"/>
      <c r="E80" s="276"/>
      <c r="F80" s="276"/>
      <c r="G80" s="276"/>
      <c r="H80" s="276"/>
      <c r="I80" s="276"/>
      <c r="J80" s="276"/>
      <c r="K80" s="276"/>
      <c r="L80" s="276"/>
      <c r="M80" s="276"/>
      <c r="N80" s="276"/>
      <c r="O80" s="276"/>
    </row>
    <row r="81" spans="1:15" s="103" customFormat="1" ht="12" x14ac:dyDescent="0.3">
      <c r="C81" s="137"/>
      <c r="D81" s="276"/>
      <c r="E81" s="276"/>
      <c r="F81" s="276"/>
      <c r="G81" s="276"/>
      <c r="H81" s="276"/>
      <c r="I81" s="276"/>
      <c r="J81" s="276"/>
      <c r="K81" s="276"/>
      <c r="L81" s="276"/>
      <c r="M81" s="276"/>
      <c r="N81" s="276"/>
      <c r="O81" s="276"/>
    </row>
    <row r="82" spans="1:15" s="103" customFormat="1" ht="12" x14ac:dyDescent="0.3">
      <c r="C82" s="137"/>
      <c r="D82" s="276"/>
      <c r="E82" s="276"/>
      <c r="F82" s="276"/>
      <c r="G82" s="276"/>
      <c r="H82" s="276"/>
      <c r="I82" s="276"/>
      <c r="J82" s="276"/>
      <c r="K82" s="276"/>
      <c r="L82" s="276"/>
      <c r="M82" s="276"/>
      <c r="N82" s="276"/>
      <c r="O82" s="276"/>
    </row>
    <row r="83" spans="1:15" s="103" customFormat="1" ht="12" x14ac:dyDescent="0.3">
      <c r="C83" s="137"/>
      <c r="D83" s="276"/>
      <c r="E83" s="276"/>
      <c r="F83" s="276"/>
      <c r="G83" s="276"/>
      <c r="H83" s="276"/>
      <c r="I83" s="276"/>
      <c r="J83" s="276"/>
      <c r="K83" s="276"/>
      <c r="L83" s="276"/>
      <c r="M83" s="276"/>
      <c r="N83" s="276"/>
      <c r="O83" s="276"/>
    </row>
    <row r="84" spans="1:15" s="103" customFormat="1" ht="12" x14ac:dyDescent="0.3">
      <c r="C84" s="137"/>
      <c r="D84" s="276"/>
      <c r="E84" s="276"/>
      <c r="F84" s="276"/>
      <c r="G84" s="276"/>
      <c r="H84" s="276"/>
      <c r="I84" s="276"/>
      <c r="J84" s="276"/>
      <c r="K84" s="276"/>
      <c r="L84" s="276"/>
      <c r="M84" s="276"/>
      <c r="N84" s="276"/>
      <c r="O84" s="276"/>
    </row>
    <row r="85" spans="1:15" s="103" customFormat="1" ht="12" x14ac:dyDescent="0.3">
      <c r="C85" s="137"/>
      <c r="D85" s="276"/>
      <c r="E85" s="276"/>
      <c r="F85" s="276"/>
      <c r="G85" s="276"/>
      <c r="H85" s="276"/>
      <c r="I85" s="276"/>
      <c r="J85" s="276"/>
      <c r="K85" s="276"/>
      <c r="L85" s="276"/>
      <c r="M85" s="276"/>
      <c r="N85" s="276"/>
      <c r="O85" s="276"/>
    </row>
    <row r="86" spans="1:15" s="103" customFormat="1" ht="12" x14ac:dyDescent="0.3">
      <c r="C86" s="137"/>
      <c r="D86" s="276"/>
      <c r="E86" s="276"/>
      <c r="F86" s="276"/>
      <c r="G86" s="276"/>
      <c r="H86" s="276"/>
      <c r="I86" s="276"/>
      <c r="J86" s="276"/>
      <c r="K86" s="276"/>
      <c r="L86" s="276"/>
      <c r="M86" s="276"/>
      <c r="N86" s="276"/>
      <c r="O86" s="276"/>
    </row>
    <row r="87" spans="1:15" s="103" customFormat="1" ht="12" x14ac:dyDescent="0.3">
      <c r="C87" s="137"/>
      <c r="D87" s="276"/>
      <c r="E87" s="276"/>
      <c r="F87" s="276"/>
      <c r="G87" s="276"/>
      <c r="H87" s="276"/>
      <c r="I87" s="276"/>
      <c r="J87" s="276"/>
      <c r="K87" s="276"/>
      <c r="L87" s="276"/>
      <c r="M87" s="276"/>
      <c r="N87" s="276"/>
      <c r="O87" s="276"/>
    </row>
    <row r="88" spans="1:15" s="103" customFormat="1" ht="12" x14ac:dyDescent="0.3">
      <c r="C88" s="137"/>
      <c r="D88" s="276"/>
      <c r="E88" s="276"/>
      <c r="F88" s="276"/>
      <c r="G88" s="276"/>
      <c r="H88" s="276"/>
      <c r="I88" s="276"/>
      <c r="J88" s="276"/>
      <c r="K88" s="276"/>
      <c r="L88" s="276"/>
      <c r="M88" s="276"/>
      <c r="N88" s="276"/>
      <c r="O88" s="276"/>
    </row>
    <row r="89" spans="1:15" s="103" customFormat="1" ht="12" x14ac:dyDescent="0.3">
      <c r="C89" s="137"/>
      <c r="D89" s="276"/>
      <c r="E89" s="276"/>
      <c r="F89" s="276"/>
      <c r="G89" s="276"/>
      <c r="H89" s="276"/>
      <c r="I89" s="276"/>
      <c r="J89" s="276"/>
      <c r="K89" s="276"/>
      <c r="L89" s="276"/>
      <c r="M89" s="276"/>
      <c r="N89" s="276"/>
      <c r="O89" s="276"/>
    </row>
    <row r="90" spans="1:15" s="103" customFormat="1" ht="21.5" customHeight="1" x14ac:dyDescent="0.3">
      <c r="C90" s="137"/>
      <c r="D90" s="276"/>
      <c r="E90" s="276"/>
      <c r="F90" s="276"/>
      <c r="G90" s="276"/>
      <c r="H90" s="276"/>
      <c r="I90" s="276"/>
      <c r="J90" s="276"/>
      <c r="K90" s="276"/>
      <c r="L90" s="276"/>
      <c r="M90" s="276"/>
      <c r="N90" s="276"/>
      <c r="O90" s="276"/>
    </row>
    <row r="91" spans="1:15" s="103" customFormat="1" ht="12" x14ac:dyDescent="0.3">
      <c r="A91" s="138"/>
      <c r="C91" s="137"/>
      <c r="D91" s="276"/>
      <c r="E91" s="276"/>
      <c r="F91" s="276"/>
      <c r="G91" s="276"/>
      <c r="H91" s="276"/>
      <c r="I91" s="276"/>
      <c r="J91" s="276"/>
      <c r="K91" s="276"/>
      <c r="L91" s="276"/>
      <c r="M91" s="276"/>
      <c r="N91" s="276"/>
      <c r="O91" s="276"/>
    </row>
    <row r="92" spans="1:15" s="103" customFormat="1" ht="12" x14ac:dyDescent="0.3">
      <c r="C92" s="137"/>
      <c r="D92" s="276"/>
      <c r="E92" s="276"/>
      <c r="F92" s="276"/>
      <c r="G92" s="276"/>
      <c r="H92" s="276"/>
      <c r="I92" s="276"/>
      <c r="J92" s="276"/>
      <c r="K92" s="276"/>
      <c r="L92" s="276"/>
      <c r="M92" s="276"/>
      <c r="N92" s="276"/>
      <c r="O92" s="276"/>
    </row>
    <row r="93" spans="1:15" s="103" customFormat="1" ht="12" x14ac:dyDescent="0.3">
      <c r="C93" s="137"/>
      <c r="D93" s="276"/>
      <c r="E93" s="276"/>
      <c r="F93" s="276"/>
      <c r="G93" s="276"/>
      <c r="H93" s="276"/>
      <c r="I93" s="276"/>
      <c r="J93" s="276"/>
      <c r="K93" s="276"/>
      <c r="L93" s="276"/>
      <c r="M93" s="276"/>
      <c r="N93" s="276"/>
      <c r="O93" s="276"/>
    </row>
    <row r="104" spans="1:29" x14ac:dyDescent="0.35">
      <c r="A104" s="6" t="s">
        <v>298</v>
      </c>
    </row>
    <row r="105" spans="1:29" x14ac:dyDescent="0.35">
      <c r="A105" s="6" t="s">
        <v>332</v>
      </c>
    </row>
    <row r="107" spans="1:29" x14ac:dyDescent="0.35">
      <c r="A107" s="110" t="s">
        <v>300</v>
      </c>
    </row>
    <row r="109" spans="1:29" s="3" customFormat="1" x14ac:dyDescent="0.35">
      <c r="A109" s="22" t="s">
        <v>5</v>
      </c>
      <c r="B109" s="12"/>
      <c r="C109" s="1"/>
      <c r="P109" s="6"/>
      <c r="Q109" s="6"/>
      <c r="R109" s="6"/>
      <c r="S109" s="6"/>
      <c r="T109" s="6"/>
      <c r="U109" s="6"/>
      <c r="V109" s="6"/>
      <c r="W109" s="6"/>
      <c r="X109" s="6"/>
      <c r="Y109" s="6"/>
      <c r="Z109" s="6"/>
      <c r="AA109" s="6"/>
      <c r="AB109" s="6"/>
      <c r="AC109" s="6"/>
    </row>
    <row r="110" spans="1:29" s="3" customFormat="1" x14ac:dyDescent="0.35">
      <c r="A110" s="6" t="s">
        <v>6</v>
      </c>
      <c r="B110" s="12"/>
      <c r="C110" s="1"/>
      <c r="P110" s="6"/>
      <c r="Q110" s="6"/>
      <c r="R110" s="6"/>
      <c r="S110" s="6"/>
      <c r="T110" s="6"/>
      <c r="U110" s="6"/>
      <c r="V110" s="6"/>
      <c r="W110" s="6"/>
      <c r="X110" s="6"/>
      <c r="Y110" s="6"/>
      <c r="Z110" s="6"/>
      <c r="AA110" s="6"/>
      <c r="AB110" s="6"/>
      <c r="AC110" s="6"/>
    </row>
    <row r="111" spans="1:29" s="3" customFormat="1" x14ac:dyDescent="0.35">
      <c r="A111" s="26" t="s">
        <v>2</v>
      </c>
      <c r="B111" s="80" t="s">
        <v>12</v>
      </c>
      <c r="C111" s="2">
        <v>0.36</v>
      </c>
      <c r="D111" s="2">
        <v>0.36</v>
      </c>
      <c r="P111" s="6"/>
      <c r="Q111" s="6"/>
      <c r="R111" s="6"/>
      <c r="S111" s="6"/>
      <c r="T111" s="6"/>
      <c r="U111" s="6"/>
      <c r="V111" s="6"/>
      <c r="W111" s="6"/>
      <c r="X111" s="6"/>
      <c r="Y111" s="6"/>
      <c r="Z111" s="6"/>
      <c r="AA111" s="6"/>
      <c r="AB111" s="6"/>
      <c r="AC111" s="6"/>
    </row>
  </sheetData>
  <pageMargins left="0.70866141732283472" right="0.70866141732283472" top="0.74803149606299213" bottom="0.74803149606299213" header="0.31496062992125984" footer="0.31496062992125984"/>
  <pageSetup paperSize="9"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5"/>
  <sheetViews>
    <sheetView zoomScaleNormal="100" zoomScalePageLayoutView="80" workbookViewId="0">
      <selection activeCell="B2" sqref="B2"/>
    </sheetView>
  </sheetViews>
  <sheetFormatPr defaultColWidth="8.81640625" defaultRowHeight="15.5" x14ac:dyDescent="0.35"/>
  <cols>
    <col min="1" max="1" width="43.90625" style="6" customWidth="1"/>
    <col min="2" max="2" width="15.08984375" customWidth="1"/>
    <col min="3" max="3" width="14" style="1" customWidth="1"/>
    <col min="4" max="15" width="9" style="3" customWidth="1"/>
    <col min="16" max="16384" width="8.81640625" style="6"/>
  </cols>
  <sheetData>
    <row r="1" spans="1:15" s="47" customFormat="1" ht="30.75" customHeight="1" x14ac:dyDescent="0.35">
      <c r="A1" s="150" t="str">
        <f>'Intro, Audits'!A1</f>
        <v>worked example - Business Model plus funding and accounting 10 years - Base Case</v>
      </c>
      <c r="B1" s="157"/>
      <c r="C1" s="157"/>
      <c r="D1" s="157"/>
      <c r="E1" s="157"/>
    </row>
    <row r="2" spans="1:15" s="126" customFormat="1" ht="51.5" customHeight="1" x14ac:dyDescent="0.35">
      <c r="A2" s="18" t="s">
        <v>371</v>
      </c>
      <c r="C2" s="183"/>
      <c r="D2" s="183"/>
      <c r="E2" s="183"/>
      <c r="F2" s="183"/>
      <c r="G2" s="183"/>
      <c r="H2" s="183"/>
      <c r="I2" s="183"/>
      <c r="J2" s="183"/>
      <c r="K2" s="183"/>
      <c r="L2" s="183"/>
      <c r="M2" s="183"/>
      <c r="N2" s="183"/>
      <c r="O2" s="183"/>
    </row>
    <row r="18" spans="1:15" s="302" customFormat="1" ht="49.4" customHeight="1" x14ac:dyDescent="0.35">
      <c r="A18" s="299" t="str">
        <f>'Sales &amp; Revenue'!A$25</f>
        <v>Years --&gt;</v>
      </c>
      <c r="B18" s="277" t="str">
        <f>'Sales &amp; Revenue'!B$25</f>
        <v>units</v>
      </c>
      <c r="C18" s="300" t="str">
        <f>'Sales &amp; Revenue'!C$25</f>
        <v>Total</v>
      </c>
      <c r="D18" s="301">
        <f>'Sales &amp; Revenue'!D$25</f>
        <v>2026</v>
      </c>
      <c r="E18" s="301">
        <f>'Sales &amp; Revenue'!E$25</f>
        <v>2027</v>
      </c>
      <c r="F18" s="301">
        <f>'Sales &amp; Revenue'!F$25</f>
        <v>2028</v>
      </c>
      <c r="G18" s="301">
        <f>'Sales &amp; Revenue'!G$25</f>
        <v>2029</v>
      </c>
      <c r="H18" s="301">
        <f>'Sales &amp; Revenue'!H$25</f>
        <v>2030</v>
      </c>
      <c r="I18" s="301">
        <f>'Sales &amp; Revenue'!I$25</f>
        <v>2031</v>
      </c>
      <c r="J18" s="301">
        <f>'Sales &amp; Revenue'!J$25</f>
        <v>2032</v>
      </c>
      <c r="K18" s="301">
        <f>'Sales &amp; Revenue'!K$25</f>
        <v>2033</v>
      </c>
      <c r="L18" s="301">
        <f>'Sales &amp; Revenue'!L$25</f>
        <v>2034</v>
      </c>
      <c r="M18" s="301">
        <f>'Sales &amp; Revenue'!M$25</f>
        <v>2035</v>
      </c>
      <c r="N18" s="301">
        <f>'Sales &amp; Revenue'!N$25</f>
        <v>2036</v>
      </c>
      <c r="O18" s="301">
        <f>'Sales &amp; Revenue'!O$25</f>
        <v>2037</v>
      </c>
    </row>
    <row r="19" spans="1:15" s="75" customFormat="1" ht="45" customHeight="1" x14ac:dyDescent="0.35">
      <c r="A19" s="31" t="s">
        <v>190</v>
      </c>
      <c r="B19" s="19"/>
      <c r="C19" s="162"/>
      <c r="D19" s="163"/>
      <c r="E19" s="163"/>
      <c r="F19" s="163"/>
      <c r="G19" s="163"/>
      <c r="H19" s="163"/>
      <c r="I19" s="163"/>
      <c r="J19" s="163"/>
      <c r="K19" s="163"/>
      <c r="L19" s="163"/>
      <c r="M19" s="163"/>
      <c r="N19" s="163"/>
      <c r="O19" s="163"/>
    </row>
    <row r="20" spans="1:15" s="12" customFormat="1" ht="13" x14ac:dyDescent="0.3">
      <c r="A20" s="193" t="s">
        <v>16</v>
      </c>
      <c r="C20" s="120"/>
      <c r="D20" s="120"/>
      <c r="E20" s="120"/>
      <c r="F20" s="120"/>
      <c r="G20" s="120"/>
      <c r="H20" s="120"/>
      <c r="I20" s="120"/>
      <c r="J20" s="120"/>
      <c r="K20" s="120"/>
      <c r="L20" s="120"/>
      <c r="M20" s="120"/>
      <c r="N20" s="120"/>
      <c r="O20" s="120"/>
    </row>
    <row r="21" spans="1:15" s="13" customFormat="1" ht="13" x14ac:dyDescent="0.3">
      <c r="A21" s="245" t="str">
        <f>'Sales &amp; Revenue'!A$37</f>
        <v>Total ABC units sold</v>
      </c>
      <c r="B21" s="245" t="str">
        <f>'Sales &amp; Revenue'!B$37</f>
        <v>units</v>
      </c>
      <c r="C21" s="236">
        <f>'Sales &amp; Revenue'!C$37</f>
        <v>735565.2536666526</v>
      </c>
      <c r="D21" s="236">
        <f>'Sales &amp; Revenue'!D$37</f>
        <v>40000</v>
      </c>
      <c r="E21" s="236">
        <f>'Sales &amp; Revenue'!E$37</f>
        <v>42250</v>
      </c>
      <c r="F21" s="236">
        <f>'Sales &amp; Revenue'!F$37</f>
        <v>46475</v>
      </c>
      <c r="G21" s="236">
        <f>'Sales &amp; Revenue'!G$37</f>
        <v>55165</v>
      </c>
      <c r="H21" s="236">
        <f>'Sales &amp; Revenue'!H$37</f>
        <v>68304.500000000015</v>
      </c>
      <c r="I21" s="236">
        <f>'Sales &amp; Revenue'!I$37</f>
        <v>84836.950000000012</v>
      </c>
      <c r="J21" s="236">
        <f>'Sales &amp; Revenue'!J$37</f>
        <v>95260.357500000013</v>
      </c>
      <c r="K21" s="236">
        <f>'Sales &amp; Revenue'!K$37</f>
        <v>98118.168225000016</v>
      </c>
      <c r="L21" s="236">
        <f>'Sales &amp; Revenue'!L$37</f>
        <v>101061.71327175002</v>
      </c>
      <c r="M21" s="236">
        <f>'Sales &amp; Revenue'!M$37</f>
        <v>104093.56466990251</v>
      </c>
      <c r="N21" s="236">
        <f>'Sales &amp; Revenue'!N$37</f>
        <v>0</v>
      </c>
      <c r="O21" s="236">
        <f>'Sales &amp; Revenue'!O$37</f>
        <v>0</v>
      </c>
    </row>
    <row r="22" spans="1:15" s="75" customFormat="1" ht="45" customHeight="1" x14ac:dyDescent="0.35">
      <c r="A22" s="31" t="s">
        <v>378</v>
      </c>
      <c r="B22" s="19"/>
      <c r="C22" s="162"/>
      <c r="D22" s="163"/>
      <c r="E22" s="163"/>
      <c r="F22" s="163"/>
      <c r="G22" s="163"/>
      <c r="H22" s="163"/>
      <c r="I22" s="163"/>
      <c r="J22" s="163"/>
      <c r="K22" s="163"/>
      <c r="L22" s="163"/>
      <c r="M22" s="163"/>
      <c r="N22" s="163"/>
      <c r="O22" s="163"/>
    </row>
    <row r="23" spans="1:15" s="12" customFormat="1" ht="13" x14ac:dyDescent="0.3">
      <c r="A23" s="193" t="s">
        <v>265</v>
      </c>
      <c r="C23" s="120"/>
      <c r="D23" s="120"/>
      <c r="E23" s="120"/>
      <c r="F23" s="120"/>
      <c r="G23" s="120"/>
      <c r="H23" s="120"/>
      <c r="I23" s="120"/>
      <c r="J23" s="120"/>
      <c r="K23" s="120"/>
      <c r="L23" s="120"/>
      <c r="M23" s="120"/>
      <c r="N23" s="120"/>
      <c r="O23" s="120"/>
    </row>
    <row r="24" spans="1:15" s="12" customFormat="1" ht="13" x14ac:dyDescent="0.3">
      <c r="A24" s="235" t="str">
        <f>'Sales &amp; Revenue'!A94</f>
        <v>Cashstream 1: Revenue (incl debtors)</v>
      </c>
      <c r="B24" s="235" t="str">
        <f>'Sales &amp; Revenue'!B94</f>
        <v>US$ 000  Real</v>
      </c>
      <c r="C24" s="236">
        <f>'Sales &amp; Revenue'!C94</f>
        <v>31272.727211008641</v>
      </c>
      <c r="D24" s="279">
        <f>'Sales &amp; Revenue'!D94</f>
        <v>1742</v>
      </c>
      <c r="E24" s="279">
        <f>'Sales &amp; Revenue'!E94</f>
        <v>1918.4300410958904</v>
      </c>
      <c r="F24" s="279">
        <f>'Sales &amp; Revenue'!F94</f>
        <v>2072.0635934794523</v>
      </c>
      <c r="G24" s="279">
        <f>'Sales &amp; Revenue'!G94</f>
        <v>2411.0848705475073</v>
      </c>
      <c r="H24" s="279">
        <f>'Sales &amp; Revenue'!H94</f>
        <v>2936.6467394209808</v>
      </c>
      <c r="I24" s="279">
        <f>'Sales &amp; Revenue'!I94</f>
        <v>3588.9597433014292</v>
      </c>
      <c r="J24" s="279">
        <f>'Sales &amp; Revenue'!J94</f>
        <v>3978.1105790281995</v>
      </c>
      <c r="K24" s="279">
        <f>'Sales &amp; Revenue'!K94</f>
        <v>4048.5560048802458</v>
      </c>
      <c r="L24" s="279">
        <f>'Sales &amp; Revenue'!L94</f>
        <v>4094.180960371732</v>
      </c>
      <c r="M24" s="279">
        <f>'Sales &amp; Revenue'!M94</f>
        <v>4140.4618463162051</v>
      </c>
      <c r="N24" s="279">
        <f>'Sales &amp; Revenue'!N94</f>
        <v>342.23283256699506</v>
      </c>
      <c r="O24" s="279">
        <f>'Sales &amp; Revenue'!O94</f>
        <v>0</v>
      </c>
    </row>
    <row r="25" spans="1:15" s="12" customFormat="1" ht="13" x14ac:dyDescent="0.3">
      <c r="A25" s="235" t="str">
        <f>'Capital &amp; Operating Costs'!A24</f>
        <v>Cashstream 2: Capital Costs (for plant and equipment)</v>
      </c>
      <c r="B25" s="235" t="str">
        <f>'Capital &amp; Operating Costs'!B24</f>
        <v>US$ 000 Real</v>
      </c>
      <c r="C25" s="236">
        <f>'Capital &amp; Operating Costs'!C24</f>
        <v>1150</v>
      </c>
      <c r="D25" s="279">
        <f>'Capital &amp; Operating Costs'!D24</f>
        <v>315</v>
      </c>
      <c r="E25" s="279">
        <f>'Capital &amp; Operating Costs'!E24</f>
        <v>275</v>
      </c>
      <c r="F25" s="279">
        <f>'Capital &amp; Operating Costs'!F24</f>
        <v>175</v>
      </c>
      <c r="G25" s="279">
        <f>'Capital &amp; Operating Costs'!G24</f>
        <v>55</v>
      </c>
      <c r="H25" s="279">
        <f>'Capital &amp; Operating Costs'!H24</f>
        <v>55</v>
      </c>
      <c r="I25" s="279">
        <f>'Capital &amp; Operating Costs'!I24</f>
        <v>55</v>
      </c>
      <c r="J25" s="279">
        <f>'Capital &amp; Operating Costs'!J24</f>
        <v>55</v>
      </c>
      <c r="K25" s="279">
        <f>'Capital &amp; Operating Costs'!K24</f>
        <v>55</v>
      </c>
      <c r="L25" s="279">
        <f>'Capital &amp; Operating Costs'!L24</f>
        <v>55</v>
      </c>
      <c r="M25" s="279">
        <f>'Capital &amp; Operating Costs'!M24</f>
        <v>55</v>
      </c>
      <c r="N25" s="279">
        <f>'Capital &amp; Operating Costs'!N24</f>
        <v>0</v>
      </c>
      <c r="O25" s="279">
        <f>'Capital &amp; Operating Costs'!O24</f>
        <v>0</v>
      </c>
    </row>
    <row r="26" spans="1:15" s="12" customFormat="1" ht="13" x14ac:dyDescent="0.3">
      <c r="A26" s="235" t="str">
        <f>'Capital &amp; Operating Costs'!A173</f>
        <v xml:space="preserve">Cashstream 3: Operating Costs </v>
      </c>
      <c r="B26" s="235" t="str">
        <f>'Capital &amp; Operating Costs'!B173</f>
        <v>US$ 000  Real</v>
      </c>
      <c r="C26" s="236">
        <f>'Capital &amp; Operating Costs'!C173</f>
        <v>25434.689030251062</v>
      </c>
      <c r="D26" s="279">
        <f>'Capital &amp; Operating Costs'!D173</f>
        <v>1730.8677056483393</v>
      </c>
      <c r="E26" s="279">
        <f>'Capital &amp; Operating Costs'!E173</f>
        <v>1693.9959198911617</v>
      </c>
      <c r="F26" s="279">
        <f>'Capital &amp; Operating Costs'!F173</f>
        <v>1814.8137614392947</v>
      </c>
      <c r="G26" s="279">
        <f>'Capital &amp; Operating Costs'!G173</f>
        <v>2074.8339722629239</v>
      </c>
      <c r="H26" s="279">
        <f>'Capital &amp; Operating Costs'!H173</f>
        <v>2438.4768972027</v>
      </c>
      <c r="I26" s="279">
        <f>'Capital &amp; Operating Costs'!I173</f>
        <v>2886.3581142229659</v>
      </c>
      <c r="J26" s="279">
        <f>'Capital &amp; Operating Costs'!J173</f>
        <v>3150.0269408689842</v>
      </c>
      <c r="K26" s="279">
        <f>'Capital &amp; Operating Costs'!K173</f>
        <v>3197.9091132362173</v>
      </c>
      <c r="L26" s="279">
        <f>'Capital &amp; Operating Costs'!L173</f>
        <v>3242.2446210239732</v>
      </c>
      <c r="M26" s="279">
        <f>'Capital &amp; Operating Costs'!M173</f>
        <v>2951.3235187842661</v>
      </c>
      <c r="N26" s="279">
        <f>'Capital &amp; Operating Costs'!N173</f>
        <v>253.83846567023539</v>
      </c>
      <c r="O26" s="279">
        <f>'Capital &amp; Operating Costs'!O173</f>
        <v>0</v>
      </c>
    </row>
    <row r="27" spans="1:15" s="12" customFormat="1" ht="13" x14ac:dyDescent="0.3">
      <c r="A27" s="235" t="str">
        <f>Taxes!A74</f>
        <v>Cashstream 4: Taxes</v>
      </c>
      <c r="B27" s="235" t="str">
        <f>Taxes!B74</f>
        <v>US$ 000 Real</v>
      </c>
      <c r="C27" s="236">
        <f>Taxes!C74</f>
        <v>1405.8625869969112</v>
      </c>
      <c r="D27" s="279">
        <f>Taxes!D74</f>
        <v>-0.55639252801991645</v>
      </c>
      <c r="E27" s="279">
        <f>Taxes!E74</f>
        <v>24.98051023246158</v>
      </c>
      <c r="F27" s="279">
        <f>Taxes!F74</f>
        <v>36.782534674926481</v>
      </c>
      <c r="G27" s="279">
        <f>Taxes!G74</f>
        <v>75.758380883933782</v>
      </c>
      <c r="H27" s="279">
        <f>Taxes!H74</f>
        <v>131.30462592497753</v>
      </c>
      <c r="I27" s="279">
        <f>Taxes!I74</f>
        <v>191.99961158477606</v>
      </c>
      <c r="J27" s="279">
        <f>Taxes!J74</f>
        <v>226.63782890308698</v>
      </c>
      <c r="K27" s="279">
        <f>Taxes!K74</f>
        <v>232.13818079842304</v>
      </c>
      <c r="L27" s="279">
        <f>Taxes!L74</f>
        <v>232.46826304794223</v>
      </c>
      <c r="M27" s="279">
        <f>Taxes!M74</f>
        <v>254.34904347440346</v>
      </c>
      <c r="N27" s="279">
        <f>Taxes!N74</f>
        <v>0</v>
      </c>
      <c r="O27" s="279">
        <f>Taxes!O74</f>
        <v>0</v>
      </c>
    </row>
    <row r="28" spans="1:15" s="290" customFormat="1" ht="36.65" customHeight="1" thickBot="1" x14ac:dyDescent="0.4">
      <c r="A28" s="148" t="s">
        <v>379</v>
      </c>
      <c r="B28" s="19" t="s">
        <v>17</v>
      </c>
      <c r="C28" s="287">
        <f>SUM(D28:O28)</f>
        <v>3282.1755937606645</v>
      </c>
      <c r="D28" s="288">
        <f t="shared" ref="D28:O28" si="0">D24-SUM(D25:D27)</f>
        <v>-303.31131312031948</v>
      </c>
      <c r="E28" s="289">
        <f t="shared" si="0"/>
        <v>-75.546389027732857</v>
      </c>
      <c r="F28" s="289">
        <f t="shared" si="0"/>
        <v>45.467297365231161</v>
      </c>
      <c r="G28" s="289">
        <f t="shared" si="0"/>
        <v>205.49251740064983</v>
      </c>
      <c r="H28" s="289">
        <f t="shared" si="0"/>
        <v>311.86521629330309</v>
      </c>
      <c r="I28" s="289">
        <f t="shared" si="0"/>
        <v>455.60201749368707</v>
      </c>
      <c r="J28" s="289">
        <f t="shared" si="0"/>
        <v>546.44580925612854</v>
      </c>
      <c r="K28" s="289">
        <f t="shared" si="0"/>
        <v>563.50871084560549</v>
      </c>
      <c r="L28" s="289">
        <f t="shared" si="0"/>
        <v>564.4680762998164</v>
      </c>
      <c r="M28" s="289">
        <f t="shared" si="0"/>
        <v>879.7892840575355</v>
      </c>
      <c r="N28" s="289">
        <f t="shared" si="0"/>
        <v>88.394366896759664</v>
      </c>
      <c r="O28" s="289">
        <f t="shared" si="0"/>
        <v>0</v>
      </c>
    </row>
    <row r="29" spans="1:15" s="58" customFormat="1" ht="16" thickBot="1" x14ac:dyDescent="0.4">
      <c r="A29" s="25" t="s">
        <v>372</v>
      </c>
      <c r="B29" s="19" t="s">
        <v>17</v>
      </c>
      <c r="C29" s="57"/>
      <c r="D29" s="291">
        <f>D28</f>
        <v>-303.31131312031948</v>
      </c>
      <c r="E29" s="50">
        <f>D29+E28</f>
        <v>-378.85770214805234</v>
      </c>
      <c r="F29" s="50">
        <f t="shared" ref="F29:O29" si="1">E29+F28</f>
        <v>-333.39040478282118</v>
      </c>
      <c r="G29" s="50">
        <f t="shared" si="1"/>
        <v>-127.89788738217135</v>
      </c>
      <c r="H29" s="50">
        <f t="shared" si="1"/>
        <v>183.96732891113174</v>
      </c>
      <c r="I29" s="50">
        <f t="shared" si="1"/>
        <v>639.56934640481882</v>
      </c>
      <c r="J29" s="50">
        <f t="shared" si="1"/>
        <v>1186.0151556609474</v>
      </c>
      <c r="K29" s="50">
        <f t="shared" si="1"/>
        <v>1749.5238665065528</v>
      </c>
      <c r="L29" s="50">
        <f t="shared" si="1"/>
        <v>2313.9919428063695</v>
      </c>
      <c r="M29" s="50">
        <f t="shared" si="1"/>
        <v>3193.781226863905</v>
      </c>
      <c r="N29" s="50">
        <f t="shared" si="1"/>
        <v>3282.1755937606645</v>
      </c>
      <c r="O29" s="50">
        <f t="shared" si="1"/>
        <v>3282.1755937606645</v>
      </c>
    </row>
    <row r="30" spans="1:15" s="70" customFormat="1" ht="13" x14ac:dyDescent="0.3">
      <c r="B30" s="19"/>
      <c r="C30" s="165"/>
      <c r="D30" s="165"/>
      <c r="E30" s="165"/>
      <c r="F30" s="165"/>
      <c r="G30" s="165"/>
      <c r="H30" s="165"/>
      <c r="I30" s="165"/>
      <c r="J30" s="165"/>
      <c r="K30" s="165"/>
      <c r="L30" s="165"/>
      <c r="M30" s="165"/>
      <c r="N30" s="165"/>
      <c r="O30" s="165"/>
    </row>
    <row r="31" spans="1:15" s="75" customFormat="1" ht="45" customHeight="1" thickBot="1" x14ac:dyDescent="0.4">
      <c r="A31" s="31" t="s">
        <v>191</v>
      </c>
      <c r="B31" s="19"/>
      <c r="C31" s="162"/>
      <c r="D31" s="163"/>
      <c r="E31" s="163"/>
      <c r="F31" s="163"/>
      <c r="G31" s="163"/>
      <c r="H31" s="163"/>
      <c r="I31" s="163"/>
      <c r="J31" s="163"/>
      <c r="K31" s="163"/>
      <c r="L31" s="163"/>
      <c r="M31" s="163"/>
      <c r="N31" s="163"/>
      <c r="O31" s="163"/>
    </row>
    <row r="32" spans="1:15" s="280" customFormat="1" ht="36.65" customHeight="1" thickBot="1" x14ac:dyDescent="0.4">
      <c r="A32" s="293" t="s">
        <v>266</v>
      </c>
      <c r="B32" s="281" t="s">
        <v>219</v>
      </c>
      <c r="C32" s="294">
        <f>IRR(D28:O28,5%)</f>
        <v>0.47939836366240574</v>
      </c>
      <c r="D32" s="292" t="s">
        <v>381</v>
      </c>
      <c r="E32" s="168"/>
      <c r="F32" s="168"/>
      <c r="G32" s="168"/>
      <c r="H32" s="168"/>
      <c r="I32" s="168"/>
      <c r="J32" s="168"/>
      <c r="K32" s="168"/>
      <c r="L32" s="168"/>
      <c r="M32" s="168"/>
      <c r="N32" s="168"/>
      <c r="O32" s="168"/>
    </row>
    <row r="33" spans="1:15" s="280" customFormat="1" ht="21" customHeight="1" x14ac:dyDescent="0.35">
      <c r="A33" s="172"/>
      <c r="B33" s="19"/>
      <c r="C33" s="282"/>
      <c r="D33" s="168"/>
      <c r="E33" s="168"/>
      <c r="F33" s="168"/>
      <c r="G33" s="168"/>
      <c r="H33" s="168"/>
      <c r="I33" s="168"/>
      <c r="J33" s="168"/>
      <c r="K33" s="168"/>
      <c r="L33" s="168"/>
      <c r="M33" s="168"/>
      <c r="N33" s="168"/>
      <c r="O33" s="168"/>
    </row>
    <row r="34" spans="1:15" s="75" customFormat="1" ht="45" customHeight="1" x14ac:dyDescent="0.35">
      <c r="A34" s="31" t="s">
        <v>380</v>
      </c>
      <c r="B34" s="19"/>
      <c r="C34" s="162"/>
      <c r="D34" s="163"/>
      <c r="E34" s="163"/>
      <c r="F34" s="163"/>
      <c r="G34" s="163"/>
      <c r="H34" s="163"/>
      <c r="I34" s="163"/>
      <c r="J34" s="163"/>
      <c r="K34" s="163"/>
      <c r="L34" s="163"/>
      <c r="M34" s="163"/>
      <c r="N34" s="163"/>
      <c r="O34" s="163"/>
    </row>
    <row r="35" spans="1:15" s="193" customFormat="1" ht="14.5" customHeight="1" x14ac:dyDescent="0.3">
      <c r="A35" s="193" t="s">
        <v>384</v>
      </c>
      <c r="C35" s="295"/>
      <c r="D35" s="296"/>
      <c r="E35" s="296"/>
      <c r="F35" s="296"/>
      <c r="G35" s="296"/>
      <c r="H35" s="296"/>
      <c r="I35" s="296"/>
      <c r="J35" s="296"/>
      <c r="K35" s="296"/>
      <c r="L35" s="296"/>
      <c r="M35" s="296"/>
      <c r="N35" s="296"/>
      <c r="O35" s="296"/>
    </row>
    <row r="36" spans="1:15" s="193" customFormat="1" ht="14.5" customHeight="1" x14ac:dyDescent="0.3">
      <c r="A36" s="193" t="s">
        <v>382</v>
      </c>
      <c r="C36" s="295"/>
      <c r="D36" s="296"/>
      <c r="E36" s="296"/>
      <c r="F36" s="296"/>
      <c r="G36" s="296"/>
      <c r="H36" s="296"/>
      <c r="I36" s="296"/>
      <c r="J36" s="296"/>
      <c r="K36" s="296"/>
      <c r="L36" s="296"/>
      <c r="M36" s="296"/>
      <c r="N36" s="296"/>
      <c r="O36" s="296"/>
    </row>
    <row r="37" spans="1:15" s="193" customFormat="1" ht="14.5" customHeight="1" x14ac:dyDescent="0.3">
      <c r="A37" s="193" t="s">
        <v>383</v>
      </c>
      <c r="C37" s="295"/>
      <c r="D37" s="296"/>
      <c r="E37" s="296"/>
      <c r="F37" s="296"/>
      <c r="G37" s="296"/>
      <c r="H37" s="296"/>
      <c r="I37" s="296"/>
      <c r="J37" s="296"/>
      <c r="K37" s="296"/>
      <c r="L37" s="296"/>
      <c r="M37" s="296"/>
      <c r="N37" s="296"/>
      <c r="O37" s="296"/>
    </row>
    <row r="38" spans="1:15" s="12" customFormat="1" ht="18.5" x14ac:dyDescent="0.45">
      <c r="A38" s="149" t="s">
        <v>55</v>
      </c>
      <c r="C38" s="120"/>
      <c r="D38" s="160"/>
      <c r="E38" s="160"/>
      <c r="F38" s="160"/>
      <c r="G38" s="160"/>
      <c r="H38" s="160"/>
      <c r="I38" s="160"/>
      <c r="J38" s="160"/>
      <c r="K38" s="160"/>
      <c r="L38" s="160"/>
      <c r="M38" s="160"/>
      <c r="N38" s="160"/>
      <c r="O38" s="160"/>
    </row>
    <row r="39" spans="1:15" s="193" customFormat="1" ht="13" x14ac:dyDescent="0.3">
      <c r="A39" s="193" t="s">
        <v>385</v>
      </c>
      <c r="B39" s="292"/>
      <c r="C39" s="295"/>
      <c r="D39" s="296"/>
      <c r="E39" s="296"/>
      <c r="F39" s="296"/>
      <c r="G39" s="296"/>
      <c r="H39" s="296"/>
      <c r="I39" s="296"/>
      <c r="J39" s="296"/>
      <c r="K39" s="296"/>
      <c r="L39" s="296"/>
      <c r="M39" s="296"/>
      <c r="N39" s="296"/>
      <c r="O39" s="296"/>
    </row>
    <row r="40" spans="1:15" s="193" customFormat="1" ht="13" x14ac:dyDescent="0.3">
      <c r="A40" s="193" t="s">
        <v>386</v>
      </c>
      <c r="B40" s="292"/>
      <c r="C40" s="295"/>
      <c r="D40" s="296"/>
      <c r="E40" s="296"/>
      <c r="F40" s="296"/>
      <c r="G40" s="296"/>
      <c r="H40" s="296"/>
      <c r="I40" s="296"/>
      <c r="J40" s="296"/>
      <c r="K40" s="296"/>
      <c r="L40" s="296"/>
      <c r="M40" s="296"/>
      <c r="N40" s="296"/>
      <c r="O40" s="296"/>
    </row>
    <row r="41" spans="1:15" s="12" customFormat="1" ht="14.25" customHeight="1" x14ac:dyDescent="0.3">
      <c r="A41" s="114"/>
      <c r="C41" s="120"/>
      <c r="D41" s="160"/>
      <c r="E41" s="160"/>
      <c r="F41" s="160"/>
      <c r="G41" s="160"/>
      <c r="H41" s="160"/>
      <c r="I41" s="160"/>
      <c r="J41" s="160"/>
      <c r="K41" s="160"/>
      <c r="L41" s="160"/>
      <c r="M41" s="160"/>
      <c r="N41" s="160"/>
      <c r="O41" s="160"/>
    </row>
    <row r="42" spans="1:15" s="12" customFormat="1" ht="13.5" thickBot="1" x14ac:dyDescent="0.35">
      <c r="A42" s="184" t="s">
        <v>189</v>
      </c>
      <c r="B42" s="185" t="s">
        <v>377</v>
      </c>
      <c r="C42" s="185"/>
      <c r="D42" s="186">
        <v>0.09</v>
      </c>
      <c r="E42" s="186">
        <f>D42</f>
        <v>0.09</v>
      </c>
      <c r="F42" s="186">
        <f>E42</f>
        <v>0.09</v>
      </c>
      <c r="G42" s="186">
        <f t="shared" ref="G42:O42" si="2">F42</f>
        <v>0.09</v>
      </c>
      <c r="H42" s="186">
        <f t="shared" si="2"/>
        <v>0.09</v>
      </c>
      <c r="I42" s="186">
        <f t="shared" si="2"/>
        <v>0.09</v>
      </c>
      <c r="J42" s="186">
        <f t="shared" si="2"/>
        <v>0.09</v>
      </c>
      <c r="K42" s="186">
        <f t="shared" si="2"/>
        <v>0.09</v>
      </c>
      <c r="L42" s="186">
        <f t="shared" si="2"/>
        <v>0.09</v>
      </c>
      <c r="M42" s="186">
        <f t="shared" si="2"/>
        <v>0.09</v>
      </c>
      <c r="N42" s="186">
        <f t="shared" si="2"/>
        <v>0.09</v>
      </c>
      <c r="O42" s="186">
        <f t="shared" si="2"/>
        <v>0.09</v>
      </c>
    </row>
    <row r="43" spans="1:15" s="264" customFormat="1" ht="13.5" thickBot="1" x14ac:dyDescent="0.35">
      <c r="A43" s="264" t="s">
        <v>37</v>
      </c>
      <c r="B43" s="264" t="s">
        <v>38</v>
      </c>
      <c r="C43" s="265"/>
      <c r="D43" s="283">
        <f>1/(1+D42)^0.5</f>
        <v>0.95782628522115132</v>
      </c>
      <c r="E43" s="265">
        <f>D43/(1+E42)</f>
        <v>0.8787397112120654</v>
      </c>
      <c r="F43" s="265">
        <f t="shared" ref="F43:O43" si="3">E43/(1+F42)</f>
        <v>0.80618322129547282</v>
      </c>
      <c r="G43" s="265">
        <f t="shared" si="3"/>
        <v>0.73961763421603011</v>
      </c>
      <c r="H43" s="265">
        <f t="shared" si="3"/>
        <v>0.6785482882715872</v>
      </c>
      <c r="I43" s="265">
        <f t="shared" si="3"/>
        <v>0.62252136538677716</v>
      </c>
      <c r="J43" s="265">
        <f t="shared" si="3"/>
        <v>0.57112051870346525</v>
      </c>
      <c r="K43" s="265">
        <f t="shared" si="3"/>
        <v>0.52396377862703225</v>
      </c>
      <c r="L43" s="265">
        <f t="shared" si="3"/>
        <v>0.48070071433672679</v>
      </c>
      <c r="M43" s="265">
        <f t="shared" si="3"/>
        <v>0.44100982966672181</v>
      </c>
      <c r="N43" s="265">
        <f t="shared" si="3"/>
        <v>0.40459617400616676</v>
      </c>
      <c r="O43" s="265">
        <f t="shared" si="3"/>
        <v>0.37118915046437317</v>
      </c>
    </row>
    <row r="44" spans="1:15" s="290" customFormat="1" ht="36.65" customHeight="1" thickBot="1" x14ac:dyDescent="0.4">
      <c r="A44" s="148" t="s">
        <v>373</v>
      </c>
      <c r="B44" s="19" t="s">
        <v>218</v>
      </c>
      <c r="C44" s="287">
        <f>SUM(D44:O44)</f>
        <v>1629.4178200260994</v>
      </c>
      <c r="D44" s="288">
        <f>D28*D43</f>
        <v>-290.51954831158508</v>
      </c>
      <c r="E44" s="289">
        <f>E28*E43</f>
        <v>-66.385612077344319</v>
      </c>
      <c r="F44" s="289">
        <f>F28*F43</f>
        <v>36.654972253501221</v>
      </c>
      <c r="G44" s="289">
        <f>G28*G43</f>
        <v>151.98588956896504</v>
      </c>
      <c r="H44" s="289">
        <f>H28*H43</f>
        <v>211.61560868726912</v>
      </c>
      <c r="I44" s="289">
        <f>I28*I43</f>
        <v>283.62199000314041</v>
      </c>
      <c r="J44" s="289">
        <f>J28*J43</f>
        <v>312.08641402569498</v>
      </c>
      <c r="K44" s="289">
        <f>K28*K43</f>
        <v>295.25815342391115</v>
      </c>
      <c r="L44" s="289">
        <f>L28*L43</f>
        <v>271.34020749759975</v>
      </c>
      <c r="M44" s="289">
        <f>M28*M43</f>
        <v>387.99572230482084</v>
      </c>
      <c r="N44" s="289">
        <f>N28*N43</f>
        <v>35.764022650126321</v>
      </c>
      <c r="O44" s="289">
        <f>O28*O43</f>
        <v>0</v>
      </c>
    </row>
    <row r="45" spans="1:15" s="58" customFormat="1" ht="16" thickBot="1" x14ac:dyDescent="0.4">
      <c r="A45" s="25" t="s">
        <v>56</v>
      </c>
      <c r="B45" s="19" t="s">
        <v>52</v>
      </c>
      <c r="C45" s="57"/>
      <c r="D45" s="291">
        <f>D44</f>
        <v>-290.51954831158508</v>
      </c>
      <c r="E45" s="50">
        <f>D45+E44</f>
        <v>-356.9051603889294</v>
      </c>
      <c r="F45" s="50">
        <f t="shared" ref="F45" si="4">E45+F44</f>
        <v>-320.25018813542817</v>
      </c>
      <c r="G45" s="50">
        <f t="shared" ref="G45" si="5">F45+G44</f>
        <v>-168.26429856646314</v>
      </c>
      <c r="H45" s="50">
        <f t="shared" ref="H45" si="6">G45+H44</f>
        <v>43.351310120805977</v>
      </c>
      <c r="I45" s="50">
        <f t="shared" ref="I45" si="7">H45+I44</f>
        <v>326.97330012394639</v>
      </c>
      <c r="J45" s="50">
        <f t="shared" ref="J45" si="8">I45+J44</f>
        <v>639.05971414964142</v>
      </c>
      <c r="K45" s="50">
        <f t="shared" ref="K45" si="9">J45+K44</f>
        <v>934.31786757355258</v>
      </c>
      <c r="L45" s="50">
        <f t="shared" ref="L45" si="10">K45+L44</f>
        <v>1205.6580750711523</v>
      </c>
      <c r="M45" s="50">
        <f t="shared" ref="M45" si="11">L45+M44</f>
        <v>1593.6537973759732</v>
      </c>
      <c r="N45" s="50">
        <f t="shared" ref="N45" si="12">M45+N44</f>
        <v>1629.4178200260994</v>
      </c>
      <c r="O45" s="50">
        <f t="shared" ref="O45" si="13">N45+O44</f>
        <v>1629.4178200260994</v>
      </c>
    </row>
    <row r="46" spans="1:15" s="280" customFormat="1" ht="36.65" customHeight="1" thickBot="1" x14ac:dyDescent="0.4">
      <c r="A46" s="297" t="s">
        <v>39</v>
      </c>
      <c r="B46" s="281" t="s">
        <v>52</v>
      </c>
      <c r="C46" s="298">
        <f>SUM(D44:O44)</f>
        <v>1629.4178200260994</v>
      </c>
      <c r="D46" s="292" t="s">
        <v>267</v>
      </c>
      <c r="E46" s="222"/>
      <c r="F46" s="222"/>
      <c r="G46" s="222"/>
      <c r="H46" s="222"/>
      <c r="I46" s="222"/>
      <c r="J46" s="222"/>
      <c r="K46" s="222"/>
      <c r="L46" s="222"/>
      <c r="M46" s="222"/>
      <c r="N46" s="222"/>
      <c r="O46" s="222"/>
    </row>
    <row r="47" spans="1:15" s="12" customFormat="1" ht="134.25" customHeight="1" x14ac:dyDescent="0.45">
      <c r="A47" s="149" t="s">
        <v>10</v>
      </c>
      <c r="C47" s="226"/>
      <c r="D47" s="226"/>
      <c r="E47" s="226"/>
      <c r="F47" s="226"/>
      <c r="G47" s="226"/>
      <c r="H47" s="226"/>
      <c r="I47" s="226"/>
      <c r="J47" s="226"/>
      <c r="K47" s="226"/>
      <c r="L47" s="226"/>
      <c r="M47" s="69"/>
      <c r="N47" s="69"/>
      <c r="O47" s="69"/>
    </row>
    <row r="48" spans="1:15" s="179" customFormat="1" ht="19.399999999999999" customHeight="1" x14ac:dyDescent="0.35">
      <c r="A48" s="278" t="str">
        <f>'Sales &amp; Revenue'!A$25</f>
        <v>Years --&gt;</v>
      </c>
      <c r="B48" s="278" t="str">
        <f>'Sales &amp; Revenue'!B$25</f>
        <v>units</v>
      </c>
      <c r="C48" s="284" t="str">
        <f>'Sales &amp; Revenue'!C$25</f>
        <v>Total</v>
      </c>
      <c r="D48" s="284">
        <f>'Sales &amp; Revenue'!D$25</f>
        <v>2026</v>
      </c>
      <c r="E48" s="284">
        <f>'Sales &amp; Revenue'!E$25</f>
        <v>2027</v>
      </c>
      <c r="F48" s="284">
        <f>'Sales &amp; Revenue'!F$25</f>
        <v>2028</v>
      </c>
      <c r="G48" s="284">
        <f>'Sales &amp; Revenue'!G$25</f>
        <v>2029</v>
      </c>
      <c r="H48" s="284">
        <f>'Sales &amp; Revenue'!H$25</f>
        <v>2030</v>
      </c>
      <c r="I48" s="284">
        <f>'Sales &amp; Revenue'!I$25</f>
        <v>2031</v>
      </c>
      <c r="J48" s="284">
        <f>'Sales &amp; Revenue'!J$25</f>
        <v>2032</v>
      </c>
      <c r="K48" s="284">
        <f>'Sales &amp; Revenue'!K$25</f>
        <v>2033</v>
      </c>
      <c r="L48" s="284">
        <f>'Sales &amp; Revenue'!L$25</f>
        <v>2034</v>
      </c>
      <c r="M48" s="284">
        <f>'Sales &amp; Revenue'!M$25</f>
        <v>2035</v>
      </c>
      <c r="N48" s="284">
        <f>'Sales &amp; Revenue'!N$25</f>
        <v>2036</v>
      </c>
      <c r="O48" s="284">
        <f>'Sales &amp; Revenue'!O$25</f>
        <v>2037</v>
      </c>
    </row>
    <row r="49" spans="1:15" s="160" customFormat="1" ht="13" x14ac:dyDescent="0.3">
      <c r="A49" s="285" t="str">
        <f>A25</f>
        <v>Cashstream 2: Capital Costs (for plant and equipment)</v>
      </c>
      <c r="C49" s="218"/>
      <c r="D49" s="226">
        <f>-D25</f>
        <v>-315</v>
      </c>
      <c r="E49" s="226">
        <f t="shared" ref="E49:O49" si="14">-E25</f>
        <v>-275</v>
      </c>
      <c r="F49" s="226">
        <f t="shared" si="14"/>
        <v>-175</v>
      </c>
      <c r="G49" s="226">
        <f t="shared" si="14"/>
        <v>-55</v>
      </c>
      <c r="H49" s="226">
        <f t="shared" si="14"/>
        <v>-55</v>
      </c>
      <c r="I49" s="226">
        <f t="shared" si="14"/>
        <v>-55</v>
      </c>
      <c r="J49" s="226">
        <f t="shared" si="14"/>
        <v>-55</v>
      </c>
      <c r="K49" s="226">
        <f t="shared" si="14"/>
        <v>-55</v>
      </c>
      <c r="L49" s="226">
        <f t="shared" si="14"/>
        <v>-55</v>
      </c>
      <c r="M49" s="226">
        <f t="shared" si="14"/>
        <v>-55</v>
      </c>
      <c r="N49" s="226">
        <f t="shared" si="14"/>
        <v>0</v>
      </c>
      <c r="O49" s="226">
        <f t="shared" si="14"/>
        <v>0</v>
      </c>
    </row>
    <row r="50" spans="1:15" s="160" customFormat="1" ht="13" x14ac:dyDescent="0.3">
      <c r="A50" s="285" t="str">
        <f t="shared" ref="A50:A51" si="15">A26</f>
        <v xml:space="preserve">Cashstream 3: Operating Costs </v>
      </c>
      <c r="C50" s="218"/>
      <c r="D50" s="226">
        <f>-D26</f>
        <v>-1730.8677056483393</v>
      </c>
      <c r="E50" s="226">
        <f t="shared" ref="E50:O50" si="16">-E26</f>
        <v>-1693.9959198911617</v>
      </c>
      <c r="F50" s="226">
        <f t="shared" si="16"/>
        <v>-1814.8137614392947</v>
      </c>
      <c r="G50" s="226">
        <f t="shared" si="16"/>
        <v>-2074.8339722629239</v>
      </c>
      <c r="H50" s="226">
        <f t="shared" si="16"/>
        <v>-2438.4768972027</v>
      </c>
      <c r="I50" s="226">
        <f t="shared" si="16"/>
        <v>-2886.3581142229659</v>
      </c>
      <c r="J50" s="226">
        <f t="shared" si="16"/>
        <v>-3150.0269408689842</v>
      </c>
      <c r="K50" s="226">
        <f t="shared" si="16"/>
        <v>-3197.9091132362173</v>
      </c>
      <c r="L50" s="226">
        <f t="shared" si="16"/>
        <v>-3242.2446210239732</v>
      </c>
      <c r="M50" s="226">
        <f t="shared" si="16"/>
        <v>-2951.3235187842661</v>
      </c>
      <c r="N50" s="226">
        <f t="shared" si="16"/>
        <v>-253.83846567023539</v>
      </c>
      <c r="O50" s="226">
        <f t="shared" si="16"/>
        <v>0</v>
      </c>
    </row>
    <row r="51" spans="1:15" s="160" customFormat="1" ht="13" x14ac:dyDescent="0.3">
      <c r="A51" s="285" t="str">
        <f t="shared" si="15"/>
        <v>Cashstream 4: Taxes</v>
      </c>
      <c r="C51" s="218"/>
      <c r="D51" s="226">
        <f>-D27</f>
        <v>0.55639252801991645</v>
      </c>
      <c r="E51" s="226">
        <f t="shared" ref="E51:O51" si="17">-E27</f>
        <v>-24.98051023246158</v>
      </c>
      <c r="F51" s="226">
        <f t="shared" si="17"/>
        <v>-36.782534674926481</v>
      </c>
      <c r="G51" s="226">
        <f t="shared" si="17"/>
        <v>-75.758380883933782</v>
      </c>
      <c r="H51" s="226">
        <f t="shared" si="17"/>
        <v>-131.30462592497753</v>
      </c>
      <c r="I51" s="226">
        <f t="shared" si="17"/>
        <v>-191.99961158477606</v>
      </c>
      <c r="J51" s="226">
        <f t="shared" si="17"/>
        <v>-226.63782890308698</v>
      </c>
      <c r="K51" s="226">
        <f t="shared" si="17"/>
        <v>-232.13818079842304</v>
      </c>
      <c r="L51" s="226">
        <f t="shared" si="17"/>
        <v>-232.46826304794223</v>
      </c>
      <c r="M51" s="226">
        <f t="shared" si="17"/>
        <v>-254.34904347440346</v>
      </c>
      <c r="N51" s="226">
        <f t="shared" si="17"/>
        <v>0</v>
      </c>
      <c r="O51" s="226">
        <f t="shared" si="17"/>
        <v>0</v>
      </c>
    </row>
    <row r="52" spans="1:15" s="160" customFormat="1" ht="13" x14ac:dyDescent="0.3">
      <c r="A52" s="286" t="s">
        <v>375</v>
      </c>
      <c r="C52" s="218"/>
      <c r="D52" s="226">
        <f t="shared" ref="D52:M52" si="18">IF(D28&gt;0,D28,0)</f>
        <v>0</v>
      </c>
      <c r="E52" s="226">
        <f t="shared" si="18"/>
        <v>0</v>
      </c>
      <c r="F52" s="226">
        <f t="shared" si="18"/>
        <v>45.467297365231161</v>
      </c>
      <c r="G52" s="226">
        <f t="shared" si="18"/>
        <v>205.49251740064983</v>
      </c>
      <c r="H52" s="226">
        <f t="shared" si="18"/>
        <v>311.86521629330309</v>
      </c>
      <c r="I52" s="226">
        <f t="shared" si="18"/>
        <v>455.60201749368707</v>
      </c>
      <c r="J52" s="226">
        <f t="shared" si="18"/>
        <v>546.44580925612854</v>
      </c>
      <c r="K52" s="226">
        <f t="shared" si="18"/>
        <v>563.50871084560549</v>
      </c>
      <c r="L52" s="226">
        <f t="shared" si="18"/>
        <v>564.4680762998164</v>
      </c>
      <c r="M52" s="226">
        <f t="shared" si="18"/>
        <v>879.7892840575355</v>
      </c>
      <c r="N52" s="226">
        <f t="shared" ref="N52:O52" si="19">IF(N28&gt;0,N28,0)</f>
        <v>88.394366896759664</v>
      </c>
      <c r="O52" s="226">
        <f t="shared" si="19"/>
        <v>0</v>
      </c>
    </row>
    <row r="53" spans="1:15" s="160" customFormat="1" ht="13" x14ac:dyDescent="0.3">
      <c r="A53" s="286" t="s">
        <v>376</v>
      </c>
      <c r="C53" s="218"/>
      <c r="D53" s="226">
        <f t="shared" ref="D53:M53" si="20">IF(D28&lt;0,-D28,0)</f>
        <v>303.31131312031948</v>
      </c>
      <c r="E53" s="226">
        <f t="shared" si="20"/>
        <v>75.546389027732857</v>
      </c>
      <c r="F53" s="226">
        <f t="shared" si="20"/>
        <v>0</v>
      </c>
      <c r="G53" s="226">
        <f t="shared" si="20"/>
        <v>0</v>
      </c>
      <c r="H53" s="226">
        <f t="shared" si="20"/>
        <v>0</v>
      </c>
      <c r="I53" s="226">
        <f t="shared" si="20"/>
        <v>0</v>
      </c>
      <c r="J53" s="226">
        <f t="shared" si="20"/>
        <v>0</v>
      </c>
      <c r="K53" s="226">
        <f t="shared" si="20"/>
        <v>0</v>
      </c>
      <c r="L53" s="226">
        <f t="shared" si="20"/>
        <v>0</v>
      </c>
      <c r="M53" s="226">
        <f t="shared" si="20"/>
        <v>0</v>
      </c>
      <c r="N53" s="226">
        <f t="shared" ref="N53:O53" si="21">IF(N28&lt;0,-N28,0)</f>
        <v>0</v>
      </c>
      <c r="O53" s="226">
        <f t="shared" si="21"/>
        <v>0</v>
      </c>
    </row>
    <row r="54" spans="1:15" s="12" customFormat="1" ht="13" x14ac:dyDescent="0.3">
      <c r="C54" s="120"/>
      <c r="D54" s="160"/>
      <c r="E54" s="160"/>
      <c r="F54" s="160"/>
      <c r="G54" s="160"/>
      <c r="H54" s="160"/>
      <c r="I54" s="160"/>
      <c r="J54" s="160"/>
      <c r="K54" s="160"/>
      <c r="L54" s="160"/>
      <c r="M54" s="160"/>
      <c r="N54" s="160"/>
      <c r="O54" s="160"/>
    </row>
    <row r="55" spans="1:15" s="12" customFormat="1" ht="13" x14ac:dyDescent="0.3">
      <c r="C55" s="120"/>
      <c r="D55" s="160"/>
      <c r="E55" s="160"/>
      <c r="F55" s="160"/>
      <c r="G55" s="160"/>
      <c r="H55" s="160"/>
      <c r="I55" s="160"/>
      <c r="J55" s="160"/>
      <c r="K55" s="160"/>
      <c r="L55" s="160"/>
      <c r="M55" s="160"/>
      <c r="N55" s="160"/>
      <c r="O55" s="160"/>
    </row>
  </sheetData>
  <pageMargins left="0.70866141732283472" right="0.70866141732283472" top="0.74803149606299213" bottom="0.74803149606299213" header="0.31496062992125984" footer="0.31496062992125984"/>
  <pageSetup paperSize="9"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90"/>
  <sheetViews>
    <sheetView zoomScaleNormal="100" workbookViewId="0">
      <selection activeCell="B2" sqref="B2"/>
    </sheetView>
  </sheetViews>
  <sheetFormatPr defaultColWidth="8.81640625" defaultRowHeight="15.5" x14ac:dyDescent="0.35"/>
  <cols>
    <col min="1" max="1" width="50.26953125" style="6" customWidth="1"/>
    <col min="2" max="2" width="16.08984375" style="12" customWidth="1"/>
    <col min="3" max="3" width="13.7265625" style="1" customWidth="1"/>
    <col min="4" max="15" width="10.08984375" style="3" customWidth="1"/>
    <col min="16" max="16384" width="8.81640625" style="6"/>
  </cols>
  <sheetData>
    <row r="1" spans="1:15" s="47" customFormat="1" ht="30.75" customHeight="1" x14ac:dyDescent="0.35">
      <c r="A1" s="150" t="str">
        <f>'Intro, Audits'!A1</f>
        <v>worked example - Business Model plus funding and accounting 10 years - Base Case</v>
      </c>
      <c r="B1" s="157"/>
      <c r="C1" s="157"/>
      <c r="D1" s="157"/>
      <c r="E1" s="157"/>
    </row>
    <row r="2" spans="1:15" s="126" customFormat="1" ht="32" customHeight="1" x14ac:dyDescent="0.35">
      <c r="A2" s="38" t="s">
        <v>201</v>
      </c>
      <c r="B2" s="19"/>
      <c r="C2" s="183"/>
      <c r="D2" s="125"/>
      <c r="E2" s="125"/>
      <c r="F2" s="125"/>
      <c r="G2" s="125"/>
      <c r="H2" s="125"/>
      <c r="I2" s="125"/>
      <c r="J2" s="125"/>
      <c r="K2" s="125"/>
      <c r="L2" s="125"/>
      <c r="M2" s="125"/>
      <c r="N2" s="125"/>
      <c r="O2" s="125"/>
    </row>
    <row r="3" spans="1:15" s="305" customFormat="1" ht="34.4" customHeight="1" x14ac:dyDescent="0.35">
      <c r="A3" s="304" t="s">
        <v>390</v>
      </c>
      <c r="B3" s="303"/>
      <c r="C3" s="306"/>
      <c r="D3" s="307"/>
      <c r="E3" s="307"/>
      <c r="F3" s="307"/>
      <c r="G3" s="307"/>
      <c r="H3" s="307"/>
      <c r="I3" s="307"/>
      <c r="J3" s="307"/>
      <c r="K3" s="307"/>
      <c r="L3" s="307"/>
      <c r="M3" s="307"/>
      <c r="N3" s="307"/>
      <c r="O3" s="307"/>
    </row>
    <row r="16" spans="1:15" s="311" customFormat="1" ht="21" customHeight="1" x14ac:dyDescent="0.35">
      <c r="A16" s="308" t="str">
        <f>'Sales &amp; Revenue'!A$25</f>
        <v>Years --&gt;</v>
      </c>
      <c r="B16" s="321" t="str">
        <f>'Sales &amp; Revenue'!B$25</f>
        <v>units</v>
      </c>
      <c r="C16" s="309" t="str">
        <f>'Sales &amp; Revenue'!C$25</f>
        <v>Total</v>
      </c>
      <c r="D16" s="310">
        <f>'Sales &amp; Revenue'!D$25</f>
        <v>2026</v>
      </c>
      <c r="E16" s="310">
        <f>'Sales &amp; Revenue'!E$25</f>
        <v>2027</v>
      </c>
      <c r="F16" s="310">
        <f>'Sales &amp; Revenue'!F$25</f>
        <v>2028</v>
      </c>
      <c r="G16" s="310">
        <f>'Sales &amp; Revenue'!G$25</f>
        <v>2029</v>
      </c>
      <c r="H16" s="310">
        <f>'Sales &amp; Revenue'!H$25</f>
        <v>2030</v>
      </c>
      <c r="I16" s="310">
        <f>'Sales &amp; Revenue'!I$25</f>
        <v>2031</v>
      </c>
      <c r="J16" s="310">
        <f>'Sales &amp; Revenue'!J$25</f>
        <v>2032</v>
      </c>
      <c r="K16" s="310">
        <f>'Sales &amp; Revenue'!K$25</f>
        <v>2033</v>
      </c>
      <c r="L16" s="310">
        <f>'Sales &amp; Revenue'!L$25</f>
        <v>2034</v>
      </c>
      <c r="M16" s="310">
        <f>'Sales &amp; Revenue'!M$25</f>
        <v>2035</v>
      </c>
      <c r="N16" s="310">
        <f>'Sales &amp; Revenue'!N$25</f>
        <v>2036</v>
      </c>
      <c r="O16" s="310">
        <f>'Sales &amp; Revenue'!O$25</f>
        <v>2037</v>
      </c>
    </row>
    <row r="17" spans="1:15" s="315" customFormat="1" ht="55" customHeight="1" x14ac:dyDescent="0.35">
      <c r="A17" s="38" t="s">
        <v>392</v>
      </c>
      <c r="B17" s="322"/>
      <c r="C17" s="313"/>
      <c r="D17" s="314"/>
      <c r="E17" s="314"/>
      <c r="F17" s="314"/>
      <c r="G17" s="314"/>
      <c r="H17" s="314"/>
      <c r="I17" s="314"/>
      <c r="J17" s="314"/>
      <c r="K17" s="314"/>
      <c r="L17" s="314"/>
      <c r="M17" s="314"/>
      <c r="N17" s="314"/>
      <c r="O17" s="314"/>
    </row>
    <row r="18" spans="1:15" s="75" customFormat="1" ht="15" customHeight="1" x14ac:dyDescent="0.35">
      <c r="A18" s="345" t="s">
        <v>391</v>
      </c>
      <c r="B18" s="19"/>
      <c r="C18" s="162"/>
      <c r="D18" s="163"/>
      <c r="E18" s="163"/>
      <c r="F18" s="163"/>
      <c r="G18" s="163"/>
      <c r="H18" s="163"/>
      <c r="I18" s="163"/>
      <c r="J18" s="163"/>
      <c r="K18" s="163"/>
      <c r="L18" s="163"/>
      <c r="M18" s="163"/>
      <c r="N18" s="163"/>
      <c r="O18" s="163"/>
    </row>
    <row r="19" spans="1:15" x14ac:dyDescent="0.35">
      <c r="A19" s="193" t="s">
        <v>16</v>
      </c>
      <c r="D19" s="1"/>
      <c r="E19" s="1"/>
      <c r="F19" s="1"/>
      <c r="G19" s="1"/>
      <c r="H19" s="1"/>
      <c r="I19" s="1"/>
      <c r="J19" s="1"/>
      <c r="K19" s="1"/>
      <c r="L19" s="1"/>
      <c r="M19" s="1"/>
      <c r="N19" s="1"/>
      <c r="O19" s="1"/>
    </row>
    <row r="20" spans="1:15" s="344" customFormat="1" ht="13" x14ac:dyDescent="0.3">
      <c r="A20" s="235" t="str">
        <f>'Sales &amp; Revenue'!A$37</f>
        <v>Total ABC units sold</v>
      </c>
      <c r="B20" s="235" t="str">
        <f>'Sales &amp; Revenue'!B$37</f>
        <v>units</v>
      </c>
      <c r="C20" s="244">
        <f>'Sales &amp; Revenue'!C$37</f>
        <v>735565.2536666526</v>
      </c>
      <c r="D20" s="244">
        <f>'Sales &amp; Revenue'!D$37</f>
        <v>40000</v>
      </c>
      <c r="E20" s="244">
        <f>'Sales &amp; Revenue'!E$37</f>
        <v>42250</v>
      </c>
      <c r="F20" s="244">
        <f>'Sales &amp; Revenue'!F$37</f>
        <v>46475</v>
      </c>
      <c r="G20" s="244">
        <f>'Sales &amp; Revenue'!G$37</f>
        <v>55165</v>
      </c>
      <c r="H20" s="244">
        <f>'Sales &amp; Revenue'!H$37</f>
        <v>68304.500000000015</v>
      </c>
      <c r="I20" s="244">
        <f>'Sales &amp; Revenue'!I$37</f>
        <v>84836.950000000012</v>
      </c>
      <c r="J20" s="244">
        <f>'Sales &amp; Revenue'!J$37</f>
        <v>95260.357500000013</v>
      </c>
      <c r="K20" s="244">
        <f>'Sales &amp; Revenue'!K$37</f>
        <v>98118.168225000016</v>
      </c>
      <c r="L20" s="244">
        <f>'Sales &amp; Revenue'!L$37</f>
        <v>101061.71327175002</v>
      </c>
      <c r="M20" s="244">
        <f>'Sales &amp; Revenue'!M$37</f>
        <v>104093.56466990251</v>
      </c>
      <c r="N20" s="244">
        <f>'Sales &amp; Revenue'!N$37</f>
        <v>0</v>
      </c>
      <c r="O20" s="244">
        <f>'Sales &amp; Revenue'!O$37</f>
        <v>0</v>
      </c>
    </row>
    <row r="21" spans="1:15" s="75" customFormat="1" ht="15" customHeight="1" x14ac:dyDescent="0.35">
      <c r="A21" s="345" t="s">
        <v>393</v>
      </c>
      <c r="B21" s="19"/>
      <c r="C21" s="162"/>
      <c r="D21" s="163"/>
      <c r="E21" s="163"/>
      <c r="F21" s="163"/>
      <c r="G21" s="163"/>
      <c r="H21" s="163"/>
      <c r="I21" s="163"/>
      <c r="J21" s="163"/>
      <c r="K21" s="163"/>
      <c r="L21" s="163"/>
      <c r="M21" s="163"/>
      <c r="N21" s="163"/>
      <c r="O21" s="163"/>
    </row>
    <row r="22" spans="1:15" x14ac:dyDescent="0.35">
      <c r="A22" s="193" t="s">
        <v>394</v>
      </c>
      <c r="D22" s="1"/>
      <c r="E22" s="1"/>
      <c r="F22" s="1"/>
      <c r="G22" s="1"/>
      <c r="H22" s="1"/>
      <c r="I22" s="1"/>
      <c r="J22" s="1"/>
      <c r="K22" s="1"/>
      <c r="L22" s="1"/>
      <c r="M22" s="1"/>
      <c r="N22" s="1"/>
      <c r="O22" s="1"/>
    </row>
    <row r="23" spans="1:15" s="344" customFormat="1" ht="13" x14ac:dyDescent="0.3">
      <c r="A23" s="235" t="str">
        <f>'Cash Generation - before fundng'!A28</f>
        <v>Cash Generation  before funding (Real)</v>
      </c>
      <c r="B23" s="235" t="str">
        <f>'Cash Generation - before fundng'!B28</f>
        <v>US$ 000  Real</v>
      </c>
      <c r="C23" s="236">
        <f>'Cash Generation - before fundng'!C28</f>
        <v>3282.1755937606645</v>
      </c>
      <c r="D23" s="244">
        <f>'Cash Generation - before fundng'!D28</f>
        <v>-303.31131312031948</v>
      </c>
      <c r="E23" s="244">
        <f>'Cash Generation - before fundng'!E28</f>
        <v>-75.546389027732857</v>
      </c>
      <c r="F23" s="244">
        <f>'Cash Generation - before fundng'!F28</f>
        <v>45.467297365231161</v>
      </c>
      <c r="G23" s="244">
        <f>'Cash Generation - before fundng'!G28</f>
        <v>205.49251740064983</v>
      </c>
      <c r="H23" s="244">
        <f>'Cash Generation - before fundng'!H28</f>
        <v>311.86521629330309</v>
      </c>
      <c r="I23" s="244">
        <f>'Cash Generation - before fundng'!I28</f>
        <v>455.60201749368707</v>
      </c>
      <c r="J23" s="244">
        <f>'Cash Generation - before fundng'!J28</f>
        <v>546.44580925612854</v>
      </c>
      <c r="K23" s="244">
        <f>'Cash Generation - before fundng'!K28</f>
        <v>563.50871084560549</v>
      </c>
      <c r="L23" s="244">
        <f>'Cash Generation - before fundng'!L28</f>
        <v>564.4680762998164</v>
      </c>
      <c r="M23" s="244">
        <f>'Cash Generation - before fundng'!M28</f>
        <v>879.7892840575355</v>
      </c>
      <c r="N23" s="244">
        <f>'Cash Generation - before fundng'!N28</f>
        <v>88.394366896759664</v>
      </c>
      <c r="O23" s="244">
        <f>'Cash Generation - before fundng'!O28</f>
        <v>0</v>
      </c>
    </row>
    <row r="24" spans="1:15" s="75" customFormat="1" ht="15" customHeight="1" x14ac:dyDescent="0.35">
      <c r="A24" s="346" t="s">
        <v>395</v>
      </c>
      <c r="B24" s="19"/>
      <c r="C24" s="162"/>
      <c r="D24" s="163"/>
      <c r="E24" s="163"/>
      <c r="F24" s="163"/>
      <c r="G24" s="163"/>
      <c r="H24" s="163"/>
      <c r="I24" s="163"/>
      <c r="J24" s="163"/>
      <c r="K24" s="163"/>
      <c r="L24" s="163"/>
      <c r="M24" s="163"/>
      <c r="N24" s="163"/>
      <c r="O24" s="163"/>
    </row>
    <row r="25" spans="1:15" s="63" customFormat="1" ht="13.5" thickBot="1" x14ac:dyDescent="0.35">
      <c r="A25" s="241" t="s">
        <v>53</v>
      </c>
      <c r="B25" s="241"/>
      <c r="C25" s="207"/>
      <c r="D25" s="243">
        <v>0.02</v>
      </c>
      <c r="E25" s="243">
        <f>D25</f>
        <v>0.02</v>
      </c>
      <c r="F25" s="243">
        <f t="shared" ref="F25:O25" si="0">E25</f>
        <v>0.02</v>
      </c>
      <c r="G25" s="243">
        <f t="shared" si="0"/>
        <v>0.02</v>
      </c>
      <c r="H25" s="243">
        <f t="shared" si="0"/>
        <v>0.02</v>
      </c>
      <c r="I25" s="243">
        <f t="shared" si="0"/>
        <v>0.02</v>
      </c>
      <c r="J25" s="243">
        <f t="shared" si="0"/>
        <v>0.02</v>
      </c>
      <c r="K25" s="243">
        <f t="shared" si="0"/>
        <v>0.02</v>
      </c>
      <c r="L25" s="243">
        <f t="shared" si="0"/>
        <v>0.02</v>
      </c>
      <c r="M25" s="243">
        <f t="shared" si="0"/>
        <v>0.02</v>
      </c>
      <c r="N25" s="243">
        <f t="shared" si="0"/>
        <v>0.02</v>
      </c>
      <c r="O25" s="243">
        <f t="shared" si="0"/>
        <v>0.02</v>
      </c>
    </row>
    <row r="26" spans="1:15" s="63" customFormat="1" ht="13.5" thickBot="1" x14ac:dyDescent="0.35">
      <c r="A26" s="63" t="s">
        <v>54</v>
      </c>
      <c r="C26" s="209"/>
      <c r="D26" s="210">
        <f>(1+D25)^0.5</f>
        <v>1.0099504938362078</v>
      </c>
      <c r="E26" s="211">
        <f t="shared" ref="E26:O26" si="1">D26*(1+E25)</f>
        <v>1.030149503712932</v>
      </c>
      <c r="F26" s="211">
        <f t="shared" si="1"/>
        <v>1.0507524937871906</v>
      </c>
      <c r="G26" s="211">
        <f t="shared" si="1"/>
        <v>1.0717675436629344</v>
      </c>
      <c r="H26" s="211">
        <f t="shared" si="1"/>
        <v>1.0932028945361931</v>
      </c>
      <c r="I26" s="211">
        <f t="shared" si="1"/>
        <v>1.115066952426917</v>
      </c>
      <c r="J26" s="211">
        <f t="shared" si="1"/>
        <v>1.1373682914754553</v>
      </c>
      <c r="K26" s="211">
        <f t="shared" si="1"/>
        <v>1.1601156573049645</v>
      </c>
      <c r="L26" s="211">
        <f t="shared" si="1"/>
        <v>1.1833179704510637</v>
      </c>
      <c r="M26" s="211">
        <f t="shared" si="1"/>
        <v>1.2069843298600851</v>
      </c>
      <c r="N26" s="211">
        <f t="shared" si="1"/>
        <v>1.2311240164572868</v>
      </c>
      <c r="O26" s="211">
        <f t="shared" si="1"/>
        <v>1.2557464967864325</v>
      </c>
    </row>
    <row r="27" spans="1:15" s="312" customFormat="1" ht="17.5" customHeight="1" x14ac:dyDescent="0.35">
      <c r="A27" s="77" t="s">
        <v>213</v>
      </c>
      <c r="B27" s="303" t="s">
        <v>57</v>
      </c>
      <c r="C27" s="101">
        <f>SUM(D27:O27)</f>
        <v>3846.7272522061339</v>
      </c>
      <c r="D27" s="76">
        <f t="shared" ref="D27:O27" si="2">D23*D26</f>
        <v>-306.32941047197534</v>
      </c>
      <c r="E27" s="76">
        <f t="shared" si="2"/>
        <v>-77.824075164223089</v>
      </c>
      <c r="F27" s="76">
        <f t="shared" si="2"/>
        <v>47.774876092280401</v>
      </c>
      <c r="G27" s="76">
        <f t="shared" si="2"/>
        <v>220.24021061560725</v>
      </c>
      <c r="H27" s="76">
        <f t="shared" si="2"/>
        <v>340.93195715699488</v>
      </c>
      <c r="I27" s="76">
        <f t="shared" si="2"/>
        <v>508.02675316624055</v>
      </c>
      <c r="J27" s="76">
        <f t="shared" si="2"/>
        <v>621.51013645756541</v>
      </c>
      <c r="K27" s="76">
        <f t="shared" si="2"/>
        <v>653.73527847972275</v>
      </c>
      <c r="L27" s="76">
        <f t="shared" si="2"/>
        <v>667.94521843151495</v>
      </c>
      <c r="M27" s="76">
        <f t="shared" si="2"/>
        <v>1061.8918794362685</v>
      </c>
      <c r="N27" s="76">
        <f t="shared" si="2"/>
        <v>108.82442800613779</v>
      </c>
      <c r="O27" s="76">
        <f t="shared" si="2"/>
        <v>0</v>
      </c>
    </row>
    <row r="28" spans="1:15" s="315" customFormat="1" ht="58" customHeight="1" x14ac:dyDescent="0.35">
      <c r="A28" s="38" t="s">
        <v>396</v>
      </c>
      <c r="B28" s="322"/>
      <c r="C28" s="313"/>
      <c r="D28" s="314"/>
      <c r="E28" s="314"/>
      <c r="F28" s="314"/>
      <c r="G28" s="314"/>
      <c r="H28" s="314"/>
      <c r="I28" s="314"/>
      <c r="J28" s="314"/>
      <c r="K28" s="314"/>
      <c r="L28" s="314"/>
      <c r="M28" s="314"/>
      <c r="N28" s="314"/>
      <c r="O28" s="314"/>
    </row>
    <row r="29" spans="1:15" s="348" customFormat="1" ht="20" customHeight="1" x14ac:dyDescent="0.35">
      <c r="A29" s="348" t="s">
        <v>397</v>
      </c>
    </row>
    <row r="30" spans="1:15" s="312" customFormat="1" ht="17.5" customHeight="1" x14ac:dyDescent="0.35">
      <c r="A30" s="77" t="s">
        <v>69</v>
      </c>
      <c r="B30" s="303" t="s">
        <v>57</v>
      </c>
      <c r="C30" s="101">
        <f>SUM(D30:O30)</f>
        <v>-384.15348563619841</v>
      </c>
      <c r="D30" s="76">
        <f t="shared" ref="D30:O30" si="3">IF(D27&lt;0,D27,0)</f>
        <v>-306.32941047197534</v>
      </c>
      <c r="E30" s="76">
        <f t="shared" si="3"/>
        <v>-77.824075164223089</v>
      </c>
      <c r="F30" s="76">
        <f t="shared" si="3"/>
        <v>0</v>
      </c>
      <c r="G30" s="76">
        <f t="shared" si="3"/>
        <v>0</v>
      </c>
      <c r="H30" s="76">
        <f t="shared" si="3"/>
        <v>0</v>
      </c>
      <c r="I30" s="76">
        <f t="shared" si="3"/>
        <v>0</v>
      </c>
      <c r="J30" s="76">
        <f t="shared" si="3"/>
        <v>0</v>
      </c>
      <c r="K30" s="76">
        <f t="shared" si="3"/>
        <v>0</v>
      </c>
      <c r="L30" s="76">
        <f t="shared" si="3"/>
        <v>0</v>
      </c>
      <c r="M30" s="76">
        <f t="shared" si="3"/>
        <v>0</v>
      </c>
      <c r="N30" s="76">
        <f t="shared" si="3"/>
        <v>0</v>
      </c>
      <c r="O30" s="76">
        <f t="shared" si="3"/>
        <v>0</v>
      </c>
    </row>
    <row r="31" spans="1:15" s="348" customFormat="1" ht="20" customHeight="1" x14ac:dyDescent="0.35">
      <c r="A31" s="348" t="s">
        <v>398</v>
      </c>
    </row>
    <row r="32" spans="1:15" s="65" customFormat="1" ht="13" x14ac:dyDescent="0.3">
      <c r="A32" s="319" t="s">
        <v>399</v>
      </c>
      <c r="C32" s="208"/>
      <c r="D32" s="207"/>
      <c r="E32" s="207"/>
      <c r="F32" s="207"/>
      <c r="G32" s="207"/>
      <c r="H32" s="207"/>
      <c r="I32" s="207"/>
      <c r="J32" s="207"/>
      <c r="K32" s="207"/>
      <c r="L32" s="207"/>
      <c r="M32" s="207"/>
      <c r="N32" s="207"/>
      <c r="O32" s="207"/>
    </row>
    <row r="33" spans="1:15" s="318" customFormat="1" ht="13" x14ac:dyDescent="0.3">
      <c r="A33" s="316" t="s">
        <v>202</v>
      </c>
      <c r="B33" s="241" t="s">
        <v>57</v>
      </c>
      <c r="C33" s="208"/>
      <c r="D33" s="317">
        <v>100</v>
      </c>
      <c r="E33" s="317">
        <f>D33</f>
        <v>100</v>
      </c>
      <c r="F33" s="317">
        <f t="shared" ref="F33:O33" si="4">E33</f>
        <v>100</v>
      </c>
      <c r="G33" s="317">
        <f t="shared" si="4"/>
        <v>100</v>
      </c>
      <c r="H33" s="317">
        <f t="shared" si="4"/>
        <v>100</v>
      </c>
      <c r="I33" s="317">
        <f t="shared" si="4"/>
        <v>100</v>
      </c>
      <c r="J33" s="317">
        <f t="shared" si="4"/>
        <v>100</v>
      </c>
      <c r="K33" s="317">
        <f t="shared" si="4"/>
        <v>100</v>
      </c>
      <c r="L33" s="317">
        <f t="shared" si="4"/>
        <v>100</v>
      </c>
      <c r="M33" s="317">
        <f t="shared" si="4"/>
        <v>100</v>
      </c>
      <c r="N33" s="317">
        <f t="shared" si="4"/>
        <v>100</v>
      </c>
      <c r="O33" s="317">
        <f t="shared" si="4"/>
        <v>100</v>
      </c>
    </row>
    <row r="34" spans="1:15" s="77" customFormat="1" x14ac:dyDescent="0.35">
      <c r="A34" s="77" t="str">
        <f>A31</f>
        <v>2 b. Donations</v>
      </c>
      <c r="B34" s="78" t="s">
        <v>58</v>
      </c>
      <c r="C34" s="320">
        <f>SUM(D34:O34)</f>
        <v>100</v>
      </c>
      <c r="D34" s="79">
        <f>IF(D23&gt;0,D33,0)</f>
        <v>0</v>
      </c>
      <c r="E34" s="79">
        <f>IF(AND(SUM($D34:D34)=0,E23&gt;0),E33,0)</f>
        <v>0</v>
      </c>
      <c r="F34" s="79">
        <f>IF(AND(SUM($D34:E34)=0,F23&gt;0),F33,0)</f>
        <v>100</v>
      </c>
      <c r="G34" s="79">
        <f>IF(AND(SUM($D34:F34)=0,G23&gt;0),G33,0)</f>
        <v>0</v>
      </c>
      <c r="H34" s="79">
        <f>IF(AND(SUM($D34:G34)=0,H23&gt;0),H33,0)</f>
        <v>0</v>
      </c>
      <c r="I34" s="79">
        <f>IF(AND(SUM($D34:H34)=0,I23&gt;0),I33,0)</f>
        <v>0</v>
      </c>
      <c r="J34" s="79">
        <f>IF(AND(SUM($D34:I34)=0,J23&gt;0),J33,0)</f>
        <v>0</v>
      </c>
      <c r="K34" s="79">
        <f>IF(AND(SUM($D34:J34)=0,K23&gt;0),K33,0)</f>
        <v>0</v>
      </c>
      <c r="L34" s="79">
        <f>IF(AND(SUM($D34:K34)=0,L23&gt;0),L33,0)</f>
        <v>0</v>
      </c>
      <c r="M34" s="79">
        <f>IF(AND(SUM($D34:L34)=0,M23&gt;0),M33,0)</f>
        <v>0</v>
      </c>
      <c r="N34" s="79">
        <f>IF(AND(SUM($D34:M34)=0,N23&gt;0),N33,0)</f>
        <v>0</v>
      </c>
      <c r="O34" s="79">
        <f>IF(AND(SUM($D34:N34)=0,O23&gt;0),O33,0)</f>
        <v>0</v>
      </c>
    </row>
    <row r="35" spans="1:15" s="348" customFormat="1" ht="20" customHeight="1" x14ac:dyDescent="0.35">
      <c r="A35" s="348" t="s">
        <v>400</v>
      </c>
    </row>
    <row r="36" spans="1:15" s="77" customFormat="1" x14ac:dyDescent="0.35">
      <c r="A36" s="77" t="s">
        <v>400</v>
      </c>
      <c r="B36" s="78" t="s">
        <v>58</v>
      </c>
      <c r="C36" s="320">
        <f>SUM(D36:O36)</f>
        <v>3946.7272522061339</v>
      </c>
      <c r="D36" s="79">
        <f t="shared" ref="D36:O36" si="5">D27+D34</f>
        <v>-306.32941047197534</v>
      </c>
      <c r="E36" s="79">
        <f t="shared" si="5"/>
        <v>-77.824075164223089</v>
      </c>
      <c r="F36" s="79">
        <f t="shared" si="5"/>
        <v>147.77487609228041</v>
      </c>
      <c r="G36" s="79">
        <f t="shared" si="5"/>
        <v>220.24021061560725</v>
      </c>
      <c r="H36" s="79">
        <f t="shared" si="5"/>
        <v>340.93195715699488</v>
      </c>
      <c r="I36" s="79">
        <f t="shared" si="5"/>
        <v>508.02675316624055</v>
      </c>
      <c r="J36" s="79">
        <f t="shared" si="5"/>
        <v>621.51013645756541</v>
      </c>
      <c r="K36" s="79">
        <f t="shared" si="5"/>
        <v>653.73527847972275</v>
      </c>
      <c r="L36" s="79">
        <f t="shared" si="5"/>
        <v>667.94521843151495</v>
      </c>
      <c r="M36" s="79">
        <f t="shared" si="5"/>
        <v>1061.8918794362685</v>
      </c>
      <c r="N36" s="79">
        <f t="shared" si="5"/>
        <v>108.82442800613779</v>
      </c>
      <c r="O36" s="79">
        <f t="shared" si="5"/>
        <v>0</v>
      </c>
    </row>
    <row r="37" spans="1:15" s="348" customFormat="1" ht="20" customHeight="1" x14ac:dyDescent="0.35">
      <c r="A37" s="348" t="s">
        <v>401</v>
      </c>
    </row>
    <row r="38" spans="1:15" s="65" customFormat="1" ht="13" x14ac:dyDescent="0.3">
      <c r="A38" s="319" t="s">
        <v>402</v>
      </c>
      <c r="C38" s="208"/>
      <c r="D38" s="207"/>
      <c r="E38" s="207"/>
      <c r="F38" s="207"/>
      <c r="G38" s="207"/>
      <c r="H38" s="207"/>
      <c r="I38" s="207"/>
      <c r="J38" s="207"/>
      <c r="K38" s="207"/>
      <c r="L38" s="207"/>
      <c r="M38" s="207"/>
      <c r="N38" s="207"/>
      <c r="O38" s="207"/>
    </row>
    <row r="39" spans="1:15" s="318" customFormat="1" ht="13" x14ac:dyDescent="0.3">
      <c r="A39" s="316" t="s">
        <v>268</v>
      </c>
      <c r="B39" s="241" t="s">
        <v>57</v>
      </c>
      <c r="C39" s="208"/>
      <c r="D39" s="317">
        <v>250</v>
      </c>
      <c r="E39" s="317">
        <v>250</v>
      </c>
      <c r="F39" s="317">
        <v>250</v>
      </c>
      <c r="G39" s="317"/>
      <c r="H39" s="317"/>
      <c r="I39" s="317"/>
      <c r="J39" s="317"/>
      <c r="K39" s="317"/>
      <c r="L39" s="317"/>
      <c r="M39" s="317"/>
      <c r="N39" s="317"/>
      <c r="O39" s="317"/>
    </row>
    <row r="40" spans="1:15" s="318" customFormat="1" ht="13.5" thickBot="1" x14ac:dyDescent="0.35">
      <c r="A40" s="316" t="s">
        <v>64</v>
      </c>
      <c r="B40" s="241" t="s">
        <v>58</v>
      </c>
      <c r="C40" s="208"/>
      <c r="D40" s="324">
        <v>0.5</v>
      </c>
      <c r="E40" s="324">
        <f>D40</f>
        <v>0.5</v>
      </c>
      <c r="F40" s="324">
        <f t="shared" ref="F40" si="6">E40</f>
        <v>0.5</v>
      </c>
      <c r="G40" s="324"/>
      <c r="H40" s="324"/>
      <c r="I40" s="324"/>
      <c r="J40" s="324"/>
      <c r="K40" s="324"/>
      <c r="L40" s="324"/>
      <c r="M40" s="324"/>
      <c r="N40" s="324"/>
      <c r="O40" s="324"/>
    </row>
    <row r="41" spans="1:15" s="65" customFormat="1" ht="15" thickBot="1" x14ac:dyDescent="0.4">
      <c r="A41" s="65" t="s">
        <v>225</v>
      </c>
      <c r="B41" s="65" t="s">
        <v>58</v>
      </c>
      <c r="C41" s="208"/>
      <c r="D41" s="347">
        <v>0</v>
      </c>
      <c r="E41" s="323">
        <f>D46</f>
        <v>153.16470523598767</v>
      </c>
      <c r="F41" s="323">
        <f t="shared" ref="F41:O41" si="7">E46</f>
        <v>192.07674281809921</v>
      </c>
      <c r="G41" s="323">
        <f t="shared" si="7"/>
        <v>44.301866725818797</v>
      </c>
      <c r="H41" s="323">
        <f t="shared" si="7"/>
        <v>0</v>
      </c>
      <c r="I41" s="323">
        <f t="shared" si="7"/>
        <v>0</v>
      </c>
      <c r="J41" s="323">
        <f t="shared" si="7"/>
        <v>0</v>
      </c>
      <c r="K41" s="323">
        <f t="shared" si="7"/>
        <v>0</v>
      </c>
      <c r="L41" s="323">
        <f t="shared" si="7"/>
        <v>0</v>
      </c>
      <c r="M41" s="323">
        <f t="shared" si="7"/>
        <v>0</v>
      </c>
      <c r="N41" s="323">
        <f t="shared" si="7"/>
        <v>0</v>
      </c>
      <c r="O41" s="323">
        <f t="shared" si="7"/>
        <v>0</v>
      </c>
    </row>
    <row r="42" spans="1:15" s="65" customFormat="1" ht="13" x14ac:dyDescent="0.3">
      <c r="A42" s="65" t="s">
        <v>62</v>
      </c>
      <c r="B42" s="65" t="s">
        <v>58</v>
      </c>
      <c r="C42" s="208"/>
      <c r="D42" s="323">
        <f t="shared" ref="D42:O42" si="8">MAX(D39-D41,0)</f>
        <v>250</v>
      </c>
      <c r="E42" s="323">
        <f t="shared" si="8"/>
        <v>96.835294764012332</v>
      </c>
      <c r="F42" s="323">
        <f t="shared" si="8"/>
        <v>57.923257181900794</v>
      </c>
      <c r="G42" s="323">
        <f t="shared" si="8"/>
        <v>0</v>
      </c>
      <c r="H42" s="323">
        <f t="shared" si="8"/>
        <v>0</v>
      </c>
      <c r="I42" s="323">
        <f t="shared" si="8"/>
        <v>0</v>
      </c>
      <c r="J42" s="323">
        <f t="shared" si="8"/>
        <v>0</v>
      </c>
      <c r="K42" s="323">
        <f t="shared" si="8"/>
        <v>0</v>
      </c>
      <c r="L42" s="323">
        <f t="shared" si="8"/>
        <v>0</v>
      </c>
      <c r="M42" s="323">
        <f t="shared" si="8"/>
        <v>0</v>
      </c>
      <c r="N42" s="323">
        <f t="shared" si="8"/>
        <v>0</v>
      </c>
      <c r="O42" s="323">
        <f t="shared" si="8"/>
        <v>0</v>
      </c>
    </row>
    <row r="43" spans="1:15" s="65" customFormat="1" ht="13" x14ac:dyDescent="0.3">
      <c r="A43" s="65" t="s">
        <v>226</v>
      </c>
      <c r="B43" s="65" t="s">
        <v>58</v>
      </c>
      <c r="C43" s="208"/>
      <c r="D43" s="323">
        <f t="shared" ref="D43:O43" si="9">IF(D27&lt;0,-D27*D40,0)</f>
        <v>153.16470523598767</v>
      </c>
      <c r="E43" s="323">
        <f t="shared" si="9"/>
        <v>38.912037582111545</v>
      </c>
      <c r="F43" s="323">
        <f t="shared" si="9"/>
        <v>0</v>
      </c>
      <c r="G43" s="323">
        <f t="shared" si="9"/>
        <v>0</v>
      </c>
      <c r="H43" s="323">
        <f t="shared" si="9"/>
        <v>0</v>
      </c>
      <c r="I43" s="323">
        <f t="shared" si="9"/>
        <v>0</v>
      </c>
      <c r="J43" s="323">
        <f t="shared" si="9"/>
        <v>0</v>
      </c>
      <c r="K43" s="323">
        <f t="shared" si="9"/>
        <v>0</v>
      </c>
      <c r="L43" s="323">
        <f t="shared" si="9"/>
        <v>0</v>
      </c>
      <c r="M43" s="323">
        <f t="shared" si="9"/>
        <v>0</v>
      </c>
      <c r="N43" s="323">
        <f t="shared" si="9"/>
        <v>0</v>
      </c>
      <c r="O43" s="323">
        <f t="shared" si="9"/>
        <v>0</v>
      </c>
    </row>
    <row r="44" spans="1:15" s="77" customFormat="1" x14ac:dyDescent="0.35">
      <c r="A44" s="77" t="s">
        <v>269</v>
      </c>
      <c r="B44" s="78" t="s">
        <v>58</v>
      </c>
      <c r="C44" s="320">
        <f t="shared" ref="C44:C45" si="10">SUM(D44:O44)</f>
        <v>192.07674281809921</v>
      </c>
      <c r="D44" s="79">
        <f t="shared" ref="D44:O44" si="11">IF(D36&lt;0,MIN(D42,D43),0)</f>
        <v>153.16470523598767</v>
      </c>
      <c r="E44" s="79">
        <f t="shared" si="11"/>
        <v>38.912037582111545</v>
      </c>
      <c r="F44" s="79">
        <f t="shared" si="11"/>
        <v>0</v>
      </c>
      <c r="G44" s="79">
        <f t="shared" si="11"/>
        <v>0</v>
      </c>
      <c r="H44" s="79">
        <f t="shared" si="11"/>
        <v>0</v>
      </c>
      <c r="I44" s="79">
        <f t="shared" si="11"/>
        <v>0</v>
      </c>
      <c r="J44" s="79">
        <f t="shared" si="11"/>
        <v>0</v>
      </c>
      <c r="K44" s="79">
        <f t="shared" si="11"/>
        <v>0</v>
      </c>
      <c r="L44" s="79">
        <f t="shared" si="11"/>
        <v>0</v>
      </c>
      <c r="M44" s="79">
        <f t="shared" si="11"/>
        <v>0</v>
      </c>
      <c r="N44" s="79">
        <f t="shared" si="11"/>
        <v>0</v>
      </c>
      <c r="O44" s="79">
        <f t="shared" si="11"/>
        <v>0</v>
      </c>
    </row>
    <row r="45" spans="1:15" s="77" customFormat="1" ht="18.5" x14ac:dyDescent="0.35">
      <c r="A45" s="77" t="s">
        <v>403</v>
      </c>
      <c r="B45" s="78" t="s">
        <v>58</v>
      </c>
      <c r="C45" s="320">
        <f t="shared" si="10"/>
        <v>-192.07674281809921</v>
      </c>
      <c r="D45" s="79">
        <f t="shared" ref="D45:O45" si="12">-IF(D36&gt;0,MIN(D36,D41+D44),0)</f>
        <v>0</v>
      </c>
      <c r="E45" s="79">
        <f t="shared" si="12"/>
        <v>0</v>
      </c>
      <c r="F45" s="79">
        <f t="shared" si="12"/>
        <v>-147.77487609228041</v>
      </c>
      <c r="G45" s="79">
        <f t="shared" si="12"/>
        <v>-44.301866725818797</v>
      </c>
      <c r="H45" s="79">
        <f t="shared" si="12"/>
        <v>0</v>
      </c>
      <c r="I45" s="79">
        <f t="shared" si="12"/>
        <v>0</v>
      </c>
      <c r="J45" s="79">
        <f t="shared" si="12"/>
        <v>0</v>
      </c>
      <c r="K45" s="79">
        <f t="shared" si="12"/>
        <v>0</v>
      </c>
      <c r="L45" s="79">
        <f t="shared" si="12"/>
        <v>0</v>
      </c>
      <c r="M45" s="79">
        <f t="shared" si="12"/>
        <v>0</v>
      </c>
      <c r="N45" s="79">
        <f t="shared" si="12"/>
        <v>0</v>
      </c>
      <c r="O45" s="79">
        <f t="shared" si="12"/>
        <v>0</v>
      </c>
    </row>
    <row r="46" spans="1:15" s="65" customFormat="1" ht="13" x14ac:dyDescent="0.3">
      <c r="A46" s="65" t="s">
        <v>224</v>
      </c>
      <c r="B46" s="65" t="s">
        <v>58</v>
      </c>
      <c r="C46" s="208"/>
      <c r="D46" s="323">
        <f>D41+D44+D45</f>
        <v>153.16470523598767</v>
      </c>
      <c r="E46" s="323">
        <f t="shared" ref="E46:O46" si="13">E41+E44+E45</f>
        <v>192.07674281809921</v>
      </c>
      <c r="F46" s="323">
        <f t="shared" si="13"/>
        <v>44.301866725818797</v>
      </c>
      <c r="G46" s="323">
        <f t="shared" si="13"/>
        <v>0</v>
      </c>
      <c r="H46" s="323">
        <f t="shared" si="13"/>
        <v>0</v>
      </c>
      <c r="I46" s="323">
        <f t="shared" si="13"/>
        <v>0</v>
      </c>
      <c r="J46" s="323">
        <f t="shared" si="13"/>
        <v>0</v>
      </c>
      <c r="K46" s="323">
        <f t="shared" si="13"/>
        <v>0</v>
      </c>
      <c r="L46" s="323">
        <f t="shared" si="13"/>
        <v>0</v>
      </c>
      <c r="M46" s="323">
        <f t="shared" si="13"/>
        <v>0</v>
      </c>
      <c r="N46" s="323">
        <f t="shared" si="13"/>
        <v>0</v>
      </c>
      <c r="O46" s="323">
        <f t="shared" si="13"/>
        <v>0</v>
      </c>
    </row>
    <row r="47" spans="1:15" s="348" customFormat="1" ht="20" customHeight="1" x14ac:dyDescent="0.35">
      <c r="A47" s="348" t="s">
        <v>404</v>
      </c>
    </row>
    <row r="48" spans="1:15" s="40" customFormat="1" x14ac:dyDescent="0.35">
      <c r="A48" s="349" t="s">
        <v>388</v>
      </c>
      <c r="B48" s="65"/>
      <c r="C48" s="41"/>
      <c r="D48" s="39"/>
      <c r="E48" s="39"/>
      <c r="F48" s="39"/>
      <c r="G48" s="39"/>
      <c r="H48" s="39"/>
      <c r="I48" s="39"/>
      <c r="J48" s="39"/>
      <c r="K48" s="39"/>
      <c r="L48" s="39"/>
      <c r="M48" s="39"/>
      <c r="N48" s="39"/>
      <c r="O48" s="39"/>
    </row>
    <row r="49" spans="1:15" s="65" customFormat="1" ht="13" x14ac:dyDescent="0.3">
      <c r="A49" s="319" t="s">
        <v>387</v>
      </c>
      <c r="C49" s="208"/>
      <c r="D49" s="207"/>
      <c r="E49" s="207"/>
      <c r="F49" s="207"/>
      <c r="G49" s="207"/>
      <c r="H49" s="207"/>
      <c r="I49" s="207"/>
      <c r="J49" s="207"/>
      <c r="K49" s="207"/>
      <c r="L49" s="207"/>
      <c r="M49" s="207"/>
      <c r="N49" s="207"/>
      <c r="O49" s="207"/>
    </row>
    <row r="50" spans="1:15" s="63" customFormat="1" ht="13" x14ac:dyDescent="0.3">
      <c r="A50" s="241" t="s">
        <v>59</v>
      </c>
      <c r="B50" s="241" t="s">
        <v>58</v>
      </c>
      <c r="C50" s="207"/>
      <c r="D50" s="325">
        <v>0.08</v>
      </c>
      <c r="E50" s="243">
        <f>D50</f>
        <v>0.08</v>
      </c>
      <c r="F50" s="243">
        <f t="shared" ref="F50" si="14">E50</f>
        <v>0.08</v>
      </c>
      <c r="G50" s="243">
        <f t="shared" ref="G50" si="15">F50</f>
        <v>0.08</v>
      </c>
      <c r="H50" s="243">
        <f t="shared" ref="H50" si="16">G50</f>
        <v>0.08</v>
      </c>
      <c r="I50" s="243">
        <f t="shared" ref="I50" si="17">H50</f>
        <v>0.08</v>
      </c>
      <c r="J50" s="243">
        <f t="shared" ref="J50" si="18">I50</f>
        <v>0.08</v>
      </c>
      <c r="K50" s="243">
        <f t="shared" ref="K50" si="19">J50</f>
        <v>0.08</v>
      </c>
      <c r="L50" s="243">
        <f t="shared" ref="L50" si="20">K50</f>
        <v>0.08</v>
      </c>
      <c r="M50" s="243">
        <f t="shared" ref="M50" si="21">L50</f>
        <v>0.08</v>
      </c>
      <c r="N50" s="243">
        <f t="shared" ref="N50" si="22">M50</f>
        <v>0.08</v>
      </c>
      <c r="O50" s="243">
        <f t="shared" ref="O50" si="23">N50</f>
        <v>0.08</v>
      </c>
    </row>
    <row r="51" spans="1:15" s="77" customFormat="1" x14ac:dyDescent="0.35">
      <c r="A51" s="77" t="s">
        <v>60</v>
      </c>
      <c r="B51" s="78" t="s">
        <v>58</v>
      </c>
      <c r="C51" s="320">
        <f>SUM(D51:O51)</f>
        <v>46.745197773588679</v>
      </c>
      <c r="D51" s="79">
        <f t="shared" ref="D51:O51" si="24">(D41+D46/2)*D50</f>
        <v>6.1265882094395065</v>
      </c>
      <c r="E51" s="79">
        <f t="shared" si="24"/>
        <v>19.936246131602982</v>
      </c>
      <c r="F51" s="79">
        <f t="shared" si="24"/>
        <v>17.138214094480688</v>
      </c>
      <c r="G51" s="79">
        <f t="shared" si="24"/>
        <v>3.544149338065504</v>
      </c>
      <c r="H51" s="79">
        <f t="shared" si="24"/>
        <v>0</v>
      </c>
      <c r="I51" s="79">
        <f t="shared" si="24"/>
        <v>0</v>
      </c>
      <c r="J51" s="79">
        <f t="shared" si="24"/>
        <v>0</v>
      </c>
      <c r="K51" s="79">
        <f t="shared" si="24"/>
        <v>0</v>
      </c>
      <c r="L51" s="79">
        <f t="shared" si="24"/>
        <v>0</v>
      </c>
      <c r="M51" s="79">
        <f t="shared" si="24"/>
        <v>0</v>
      </c>
      <c r="N51" s="79">
        <f t="shared" si="24"/>
        <v>0</v>
      </c>
      <c r="O51" s="79">
        <f t="shared" si="24"/>
        <v>0</v>
      </c>
    </row>
    <row r="52" spans="1:15" s="348" customFormat="1" ht="20" customHeight="1" x14ac:dyDescent="0.35">
      <c r="A52" s="348" t="s">
        <v>405</v>
      </c>
    </row>
    <row r="53" spans="1:15" s="65" customFormat="1" ht="13.5" thickBot="1" x14ac:dyDescent="0.35">
      <c r="A53" s="319" t="s">
        <v>406</v>
      </c>
      <c r="C53" s="208"/>
      <c r="D53" s="207"/>
      <c r="E53" s="207"/>
      <c r="F53" s="207"/>
      <c r="G53" s="207"/>
      <c r="H53" s="207"/>
      <c r="I53" s="207"/>
      <c r="J53" s="207"/>
      <c r="K53" s="207"/>
      <c r="L53" s="207"/>
      <c r="M53" s="207"/>
      <c r="N53" s="207"/>
      <c r="O53" s="207"/>
    </row>
    <row r="54" spans="1:15" s="66" customFormat="1" ht="13.5" thickBot="1" x14ac:dyDescent="0.35">
      <c r="A54" s="66" t="s">
        <v>61</v>
      </c>
      <c r="B54" s="66" t="s">
        <v>58</v>
      </c>
      <c r="C54" s="326"/>
      <c r="D54" s="350">
        <v>0</v>
      </c>
      <c r="E54" s="323">
        <f>D60</f>
        <v>159.29129344542716</v>
      </c>
      <c r="F54" s="323">
        <f t="shared" ref="F54:O54" si="25">E60</f>
        <v>218.13957715914168</v>
      </c>
      <c r="G54" s="323">
        <f t="shared" si="25"/>
        <v>218.13957715914168</v>
      </c>
      <c r="H54" s="323">
        <f t="shared" si="25"/>
        <v>218.13957715914168</v>
      </c>
      <c r="I54" s="323">
        <f t="shared" si="25"/>
        <v>218.13957715914168</v>
      </c>
      <c r="J54" s="323">
        <f t="shared" si="25"/>
        <v>218.13957715914168</v>
      </c>
      <c r="K54" s="323">
        <f t="shared" si="25"/>
        <v>218.13957715914168</v>
      </c>
      <c r="L54" s="323">
        <f t="shared" si="25"/>
        <v>218.13957715914168</v>
      </c>
      <c r="M54" s="323">
        <f t="shared" si="25"/>
        <v>218.13957715914168</v>
      </c>
      <c r="N54" s="323">
        <f t="shared" si="25"/>
        <v>218.13957715914168</v>
      </c>
      <c r="O54" s="323">
        <f t="shared" si="25"/>
        <v>218.13957715914168</v>
      </c>
    </row>
    <row r="55" spans="1:15" s="66" customFormat="1" ht="13" x14ac:dyDescent="0.3">
      <c r="A55" s="67" t="str">
        <f>A27</f>
        <v>Net Cash Flow before project funding - Nominal</v>
      </c>
      <c r="B55" s="67" t="str">
        <f>B27</f>
        <v>US$ 000  Nominal</v>
      </c>
      <c r="C55" s="326">
        <f t="shared" ref="C55" si="26">SUM(D55:O55)</f>
        <v>3846.7272522061339</v>
      </c>
      <c r="D55" s="327">
        <f t="shared" ref="D55:O55" si="27">D27</f>
        <v>-306.32941047197534</v>
      </c>
      <c r="E55" s="327">
        <f t="shared" si="27"/>
        <v>-77.824075164223089</v>
      </c>
      <c r="F55" s="327">
        <f t="shared" si="27"/>
        <v>47.774876092280401</v>
      </c>
      <c r="G55" s="327">
        <f t="shared" si="27"/>
        <v>220.24021061560725</v>
      </c>
      <c r="H55" s="327">
        <f t="shared" si="27"/>
        <v>340.93195715699488</v>
      </c>
      <c r="I55" s="327">
        <f t="shared" si="27"/>
        <v>508.02675316624055</v>
      </c>
      <c r="J55" s="327">
        <f t="shared" si="27"/>
        <v>621.51013645756541</v>
      </c>
      <c r="K55" s="327">
        <f t="shared" si="27"/>
        <v>653.73527847972275</v>
      </c>
      <c r="L55" s="327">
        <f t="shared" si="27"/>
        <v>667.94521843151495</v>
      </c>
      <c r="M55" s="327">
        <f t="shared" si="27"/>
        <v>1061.8918794362685</v>
      </c>
      <c r="N55" s="327">
        <f t="shared" si="27"/>
        <v>108.82442800613779</v>
      </c>
      <c r="O55" s="327">
        <f t="shared" si="27"/>
        <v>0</v>
      </c>
    </row>
    <row r="56" spans="1:15" s="66" customFormat="1" ht="13" x14ac:dyDescent="0.3">
      <c r="A56" s="67" t="str">
        <f>A51</f>
        <v xml:space="preserve">Interest - paid </v>
      </c>
      <c r="B56" s="67" t="str">
        <f>B51</f>
        <v>US$ 000 Nominal</v>
      </c>
      <c r="C56" s="326">
        <f t="shared" ref="C56:C59" si="28">SUM(D56:O56)</f>
        <v>-46.745197773588679</v>
      </c>
      <c r="D56" s="327">
        <f t="shared" ref="D56:O56" si="29">-D51</f>
        <v>-6.1265882094395065</v>
      </c>
      <c r="E56" s="327">
        <f t="shared" si="29"/>
        <v>-19.936246131602982</v>
      </c>
      <c r="F56" s="327">
        <f t="shared" si="29"/>
        <v>-17.138214094480688</v>
      </c>
      <c r="G56" s="327">
        <f t="shared" si="29"/>
        <v>-3.544149338065504</v>
      </c>
      <c r="H56" s="327">
        <f t="shared" si="29"/>
        <v>0</v>
      </c>
      <c r="I56" s="327">
        <f t="shared" si="29"/>
        <v>0</v>
      </c>
      <c r="J56" s="327">
        <f t="shared" si="29"/>
        <v>0</v>
      </c>
      <c r="K56" s="327">
        <f t="shared" si="29"/>
        <v>0</v>
      </c>
      <c r="L56" s="327">
        <f t="shared" si="29"/>
        <v>0</v>
      </c>
      <c r="M56" s="327">
        <f t="shared" si="29"/>
        <v>0</v>
      </c>
      <c r="N56" s="327">
        <f t="shared" si="29"/>
        <v>0</v>
      </c>
      <c r="O56" s="327">
        <f t="shared" si="29"/>
        <v>0</v>
      </c>
    </row>
    <row r="57" spans="1:15" s="66" customFormat="1" ht="13" x14ac:dyDescent="0.3">
      <c r="A57" s="67" t="str">
        <f>A34</f>
        <v>2 b. Donations</v>
      </c>
      <c r="B57" s="67" t="str">
        <f>B34</f>
        <v>US$ 000 Nominal</v>
      </c>
      <c r="C57" s="326">
        <f t="shared" ref="C57" si="30">SUM(D57:O57)</f>
        <v>100</v>
      </c>
      <c r="D57" s="327">
        <f t="shared" ref="D57:O57" si="31">D34</f>
        <v>0</v>
      </c>
      <c r="E57" s="327">
        <f t="shared" si="31"/>
        <v>0</v>
      </c>
      <c r="F57" s="327">
        <f t="shared" si="31"/>
        <v>100</v>
      </c>
      <c r="G57" s="327">
        <f t="shared" si="31"/>
        <v>0</v>
      </c>
      <c r="H57" s="327">
        <f t="shared" si="31"/>
        <v>0</v>
      </c>
      <c r="I57" s="327">
        <f t="shared" si="31"/>
        <v>0</v>
      </c>
      <c r="J57" s="327">
        <f t="shared" si="31"/>
        <v>0</v>
      </c>
      <c r="K57" s="327">
        <f t="shared" si="31"/>
        <v>0</v>
      </c>
      <c r="L57" s="327">
        <f t="shared" si="31"/>
        <v>0</v>
      </c>
      <c r="M57" s="327">
        <f t="shared" si="31"/>
        <v>0</v>
      </c>
      <c r="N57" s="327">
        <f t="shared" si="31"/>
        <v>0</v>
      </c>
      <c r="O57" s="327">
        <f t="shared" si="31"/>
        <v>0</v>
      </c>
    </row>
    <row r="58" spans="1:15" s="66" customFormat="1" ht="13" x14ac:dyDescent="0.3">
      <c r="A58" s="67" t="str">
        <f>A44</f>
        <v>loan - drawdowns</v>
      </c>
      <c r="B58" s="67" t="str">
        <f>B44</f>
        <v>US$ 000 Nominal</v>
      </c>
      <c r="C58" s="326">
        <f t="shared" si="28"/>
        <v>192.07674281809921</v>
      </c>
      <c r="D58" s="327">
        <f t="shared" ref="D58:O58" si="32">D44</f>
        <v>153.16470523598767</v>
      </c>
      <c r="E58" s="327">
        <f t="shared" si="32"/>
        <v>38.912037582111545</v>
      </c>
      <c r="F58" s="327">
        <f t="shared" si="32"/>
        <v>0</v>
      </c>
      <c r="G58" s="327">
        <f t="shared" si="32"/>
        <v>0</v>
      </c>
      <c r="H58" s="327">
        <f t="shared" si="32"/>
        <v>0</v>
      </c>
      <c r="I58" s="327">
        <f t="shared" si="32"/>
        <v>0</v>
      </c>
      <c r="J58" s="327">
        <f t="shared" si="32"/>
        <v>0</v>
      </c>
      <c r="K58" s="327">
        <f t="shared" si="32"/>
        <v>0</v>
      </c>
      <c r="L58" s="327">
        <f t="shared" si="32"/>
        <v>0</v>
      </c>
      <c r="M58" s="327">
        <f t="shared" si="32"/>
        <v>0</v>
      </c>
      <c r="N58" s="327">
        <f t="shared" si="32"/>
        <v>0</v>
      </c>
      <c r="O58" s="327">
        <f t="shared" si="32"/>
        <v>0</v>
      </c>
    </row>
    <row r="59" spans="1:15" s="77" customFormat="1" x14ac:dyDescent="0.35">
      <c r="A59" s="77" t="s">
        <v>70</v>
      </c>
      <c r="B59" s="78" t="s">
        <v>58</v>
      </c>
      <c r="C59" s="320">
        <f t="shared" si="28"/>
        <v>218.13957715914168</v>
      </c>
      <c r="D59" s="79">
        <f>IF(SUM(D55:D58)&lt;0,-SUM(D55:D58),0)</f>
        <v>159.29129344542716</v>
      </c>
      <c r="E59" s="79">
        <f t="shared" ref="E59:O59" si="33">IF(SUM(E55:E58)&lt;0,-SUM(E55:E58),0)</f>
        <v>58.84828371371453</v>
      </c>
      <c r="F59" s="79">
        <f t="shared" si="33"/>
        <v>0</v>
      </c>
      <c r="G59" s="79">
        <f t="shared" si="33"/>
        <v>0</v>
      </c>
      <c r="H59" s="79">
        <f t="shared" si="33"/>
        <v>0</v>
      </c>
      <c r="I59" s="79">
        <f t="shared" si="33"/>
        <v>0</v>
      </c>
      <c r="J59" s="79">
        <f t="shared" si="33"/>
        <v>0</v>
      </c>
      <c r="K59" s="79">
        <f t="shared" si="33"/>
        <v>0</v>
      </c>
      <c r="L59" s="79">
        <f t="shared" si="33"/>
        <v>0</v>
      </c>
      <c r="M59" s="79">
        <f t="shared" si="33"/>
        <v>0</v>
      </c>
      <c r="N59" s="79">
        <f t="shared" si="33"/>
        <v>0</v>
      </c>
      <c r="O59" s="79">
        <f t="shared" si="33"/>
        <v>0</v>
      </c>
    </row>
    <row r="60" spans="1:15" s="66" customFormat="1" ht="13" x14ac:dyDescent="0.3">
      <c r="A60" s="66" t="s">
        <v>63</v>
      </c>
      <c r="B60" s="66" t="s">
        <v>58</v>
      </c>
      <c r="C60" s="326"/>
      <c r="D60" s="323">
        <f t="shared" ref="D60:O60" si="34">D54+D59</f>
        <v>159.29129344542716</v>
      </c>
      <c r="E60" s="323">
        <f t="shared" si="34"/>
        <v>218.13957715914168</v>
      </c>
      <c r="F60" s="323">
        <f t="shared" si="34"/>
        <v>218.13957715914168</v>
      </c>
      <c r="G60" s="323">
        <f t="shared" si="34"/>
        <v>218.13957715914168</v>
      </c>
      <c r="H60" s="323">
        <f t="shared" si="34"/>
        <v>218.13957715914168</v>
      </c>
      <c r="I60" s="323">
        <f t="shared" si="34"/>
        <v>218.13957715914168</v>
      </c>
      <c r="J60" s="323">
        <f t="shared" si="34"/>
        <v>218.13957715914168</v>
      </c>
      <c r="K60" s="323">
        <f t="shared" si="34"/>
        <v>218.13957715914168</v>
      </c>
      <c r="L60" s="323">
        <f t="shared" si="34"/>
        <v>218.13957715914168</v>
      </c>
      <c r="M60" s="323">
        <f t="shared" si="34"/>
        <v>218.13957715914168</v>
      </c>
      <c r="N60" s="323">
        <f t="shared" si="34"/>
        <v>218.13957715914168</v>
      </c>
      <c r="O60" s="323">
        <f t="shared" si="34"/>
        <v>218.13957715914168</v>
      </c>
    </row>
    <row r="61" spans="1:15" s="315" customFormat="1" ht="61.4" customHeight="1" x14ac:dyDescent="0.35">
      <c r="A61" s="38" t="s">
        <v>407</v>
      </c>
      <c r="B61" s="322"/>
      <c r="C61" s="313"/>
      <c r="D61" s="314"/>
      <c r="E61" s="314"/>
      <c r="F61" s="314"/>
      <c r="G61" s="314"/>
      <c r="H61" s="314"/>
      <c r="I61" s="314"/>
      <c r="J61" s="314"/>
      <c r="K61" s="314"/>
      <c r="L61" s="314"/>
      <c r="M61" s="314"/>
      <c r="N61" s="314"/>
      <c r="O61" s="314"/>
    </row>
    <row r="62" spans="1:15" s="87" customFormat="1" ht="30" customHeight="1" x14ac:dyDescent="0.35">
      <c r="A62" s="348" t="s">
        <v>408</v>
      </c>
      <c r="B62" s="351"/>
      <c r="C62" s="340"/>
      <c r="D62" s="352"/>
      <c r="E62" s="352"/>
      <c r="F62" s="352"/>
      <c r="G62" s="352"/>
      <c r="H62" s="352"/>
      <c r="I62" s="352"/>
      <c r="J62" s="352"/>
      <c r="K62" s="352"/>
      <c r="L62" s="352"/>
      <c r="M62" s="352"/>
      <c r="N62" s="352"/>
      <c r="O62" s="352"/>
    </row>
    <row r="63" spans="1:15" s="40" customFormat="1" x14ac:dyDescent="0.35">
      <c r="A63" s="349" t="s">
        <v>389</v>
      </c>
      <c r="B63" s="65"/>
      <c r="C63" s="41"/>
      <c r="D63" s="39"/>
      <c r="E63" s="39"/>
      <c r="F63" s="39"/>
      <c r="G63" s="39"/>
      <c r="H63" s="39"/>
      <c r="I63" s="39"/>
      <c r="J63" s="39"/>
      <c r="K63" s="39"/>
      <c r="L63" s="39"/>
      <c r="M63" s="39"/>
      <c r="N63" s="39"/>
      <c r="O63" s="39"/>
    </row>
    <row r="64" spans="1:15" s="12" customFormat="1" ht="13" x14ac:dyDescent="0.3">
      <c r="A64" s="328" t="s">
        <v>270</v>
      </c>
      <c r="C64" s="120"/>
      <c r="D64" s="160"/>
      <c r="E64" s="160"/>
      <c r="F64" s="160"/>
      <c r="G64" s="160"/>
      <c r="H64" s="160"/>
      <c r="I64" s="160"/>
      <c r="J64" s="160"/>
      <c r="K64" s="160"/>
      <c r="L64" s="160"/>
      <c r="M64" s="160"/>
      <c r="N64" s="160"/>
      <c r="O64" s="160"/>
    </row>
    <row r="65" spans="1:15" s="63" customFormat="1" ht="13" x14ac:dyDescent="0.3">
      <c r="A65" s="329" t="str">
        <f>Taxes!A61</f>
        <v>Assessable income</v>
      </c>
      <c r="B65" s="329" t="str">
        <f>Taxes!B61</f>
        <v>US$ 000  Real</v>
      </c>
      <c r="C65" s="336">
        <f>Taxes!C61</f>
        <v>4621.730414596992</v>
      </c>
      <c r="D65" s="336">
        <f>Taxes!D61</f>
        <v>74.224592777085945</v>
      </c>
      <c r="E65" s="353">
        <f>Taxes!E61</f>
        <v>126.7252673308426</v>
      </c>
      <c r="F65" s="353">
        <f>Taxes!F61</f>
        <v>134.38440903594505</v>
      </c>
      <c r="G65" s="353">
        <f>Taxes!G61</f>
        <v>230.6666147887363</v>
      </c>
      <c r="H65" s="353">
        <f>Taxes!H61</f>
        <v>418.8973747457967</v>
      </c>
      <c r="I65" s="353">
        <f>Taxes!I61</f>
        <v>619.37164701935899</v>
      </c>
      <c r="J65" s="353">
        <f>Taxes!J61</f>
        <v>731.97611723485079</v>
      </c>
      <c r="K65" s="353">
        <f>Taxes!K61</f>
        <v>752.44916993849802</v>
      </c>
      <c r="L65" s="353">
        <f>Taxes!L61</f>
        <v>757.76806158600084</v>
      </c>
      <c r="M65" s="353">
        <f>Taxes!M61</f>
        <v>775.26716013987652</v>
      </c>
      <c r="N65" s="353">
        <f>Taxes!N61</f>
        <v>0</v>
      </c>
      <c r="O65" s="353">
        <f>Taxes!O61</f>
        <v>0</v>
      </c>
    </row>
    <row r="66" spans="1:15" s="63" customFormat="1" ht="13" x14ac:dyDescent="0.3">
      <c r="A66" s="68" t="str">
        <f>A$26</f>
        <v>Inflator - US$</v>
      </c>
      <c r="B66" s="68"/>
      <c r="C66" s="208"/>
      <c r="D66" s="330">
        <f t="shared" ref="D66:O66" si="35">D$26</f>
        <v>1.0099504938362078</v>
      </c>
      <c r="E66" s="330">
        <f t="shared" si="35"/>
        <v>1.030149503712932</v>
      </c>
      <c r="F66" s="330">
        <f t="shared" si="35"/>
        <v>1.0507524937871906</v>
      </c>
      <c r="G66" s="330">
        <f t="shared" si="35"/>
        <v>1.0717675436629344</v>
      </c>
      <c r="H66" s="330">
        <f t="shared" si="35"/>
        <v>1.0932028945361931</v>
      </c>
      <c r="I66" s="330">
        <f t="shared" si="35"/>
        <v>1.115066952426917</v>
      </c>
      <c r="J66" s="330">
        <f t="shared" si="35"/>
        <v>1.1373682914754553</v>
      </c>
      <c r="K66" s="330">
        <f t="shared" si="35"/>
        <v>1.1601156573049645</v>
      </c>
      <c r="L66" s="330">
        <f t="shared" si="35"/>
        <v>1.1833179704510637</v>
      </c>
      <c r="M66" s="330">
        <f t="shared" si="35"/>
        <v>1.2069843298600851</v>
      </c>
      <c r="N66" s="330">
        <f t="shared" si="35"/>
        <v>1.2311240164572868</v>
      </c>
      <c r="O66" s="330">
        <f t="shared" si="35"/>
        <v>1.2557464967864325</v>
      </c>
    </row>
    <row r="67" spans="1:15" s="66" customFormat="1" ht="13" x14ac:dyDescent="0.3">
      <c r="A67" s="67" t="s">
        <v>65</v>
      </c>
      <c r="B67" s="67" t="s">
        <v>58</v>
      </c>
      <c r="C67" s="326">
        <f t="shared" ref="C67" si="36">SUM(D67:O67)</f>
        <v>5280.3859245683634</v>
      </c>
      <c r="D67" s="331">
        <f>D65*D66</f>
        <v>74.963164130009375</v>
      </c>
      <c r="E67" s="331">
        <f t="shared" ref="E67:O67" si="37">E65*E66</f>
        <v>130.54597124875613</v>
      </c>
      <c r="F67" s="331">
        <f t="shared" si="37"/>
        <v>141.20475292063713</v>
      </c>
      <c r="G67" s="331">
        <f t="shared" si="37"/>
        <v>247.2209911371682</v>
      </c>
      <c r="H67" s="331">
        <f t="shared" si="37"/>
        <v>457.93982258571737</v>
      </c>
      <c r="I67" s="331">
        <f t="shared" si="37"/>
        <v>690.6408548615168</v>
      </c>
      <c r="J67" s="331">
        <f t="shared" si="37"/>
        <v>832.52642586023978</v>
      </c>
      <c r="K67" s="331">
        <f t="shared" si="37"/>
        <v>872.92806337177558</v>
      </c>
      <c r="L67" s="331">
        <f t="shared" si="37"/>
        <v>896.68056470858312</v>
      </c>
      <c r="M67" s="331">
        <f t="shared" si="37"/>
        <v>935.73531374396009</v>
      </c>
      <c r="N67" s="331">
        <f t="shared" si="37"/>
        <v>0</v>
      </c>
      <c r="O67" s="331">
        <f t="shared" si="37"/>
        <v>0</v>
      </c>
    </row>
    <row r="68" spans="1:15" s="66" customFormat="1" ht="13" x14ac:dyDescent="0.3">
      <c r="A68" s="354" t="s">
        <v>66</v>
      </c>
      <c r="B68" s="67"/>
      <c r="C68" s="326"/>
      <c r="D68" s="67"/>
      <c r="E68" s="67"/>
      <c r="F68" s="67"/>
      <c r="G68" s="67"/>
      <c r="H68" s="67"/>
      <c r="I68" s="67"/>
      <c r="J68" s="67"/>
      <c r="K68" s="67"/>
      <c r="L68" s="67"/>
      <c r="M68" s="67"/>
      <c r="N68" s="67"/>
      <c r="O68" s="67"/>
    </row>
    <row r="69" spans="1:15" s="66" customFormat="1" ht="13" x14ac:dyDescent="0.3">
      <c r="A69" s="67" t="str">
        <f>A51</f>
        <v xml:space="preserve">Interest - paid </v>
      </c>
      <c r="B69" s="67" t="str">
        <f>B51</f>
        <v>US$ 000 Nominal</v>
      </c>
      <c r="C69" s="326">
        <f t="shared" ref="C69" si="38">SUM(D69:O69)</f>
        <v>46.745197773588679</v>
      </c>
      <c r="D69" s="327">
        <f t="shared" ref="D69:O69" si="39">D51</f>
        <v>6.1265882094395065</v>
      </c>
      <c r="E69" s="327">
        <f t="shared" si="39"/>
        <v>19.936246131602982</v>
      </c>
      <c r="F69" s="327">
        <f t="shared" si="39"/>
        <v>17.138214094480688</v>
      </c>
      <c r="G69" s="327">
        <f t="shared" si="39"/>
        <v>3.544149338065504</v>
      </c>
      <c r="H69" s="327">
        <f t="shared" si="39"/>
        <v>0</v>
      </c>
      <c r="I69" s="327">
        <f t="shared" si="39"/>
        <v>0</v>
      </c>
      <c r="J69" s="327">
        <f t="shared" si="39"/>
        <v>0</v>
      </c>
      <c r="K69" s="327">
        <f t="shared" si="39"/>
        <v>0</v>
      </c>
      <c r="L69" s="327">
        <f t="shared" si="39"/>
        <v>0</v>
      </c>
      <c r="M69" s="327">
        <f t="shared" si="39"/>
        <v>0</v>
      </c>
      <c r="N69" s="327">
        <f t="shared" si="39"/>
        <v>0</v>
      </c>
      <c r="O69" s="327">
        <f t="shared" si="39"/>
        <v>0</v>
      </c>
    </row>
    <row r="70" spans="1:15" s="66" customFormat="1" ht="13" x14ac:dyDescent="0.3">
      <c r="A70" s="67" t="s">
        <v>67</v>
      </c>
      <c r="B70" s="67" t="s">
        <v>58</v>
      </c>
      <c r="C70" s="326">
        <f t="shared" ref="C70" si="40">SUM(D70:O70)</f>
        <v>5233.6407267947752</v>
      </c>
      <c r="D70" s="331">
        <f>D67-D69</f>
        <v>68.836575920569871</v>
      </c>
      <c r="E70" s="331">
        <f t="shared" ref="E70:O70" si="41">E67-E69</f>
        <v>110.60972511715315</v>
      </c>
      <c r="F70" s="331">
        <f t="shared" si="41"/>
        <v>124.06653882615645</v>
      </c>
      <c r="G70" s="331">
        <f t="shared" si="41"/>
        <v>243.6768417991027</v>
      </c>
      <c r="H70" s="331">
        <f t="shared" si="41"/>
        <v>457.93982258571737</v>
      </c>
      <c r="I70" s="331">
        <f t="shared" si="41"/>
        <v>690.6408548615168</v>
      </c>
      <c r="J70" s="331">
        <f t="shared" si="41"/>
        <v>832.52642586023978</v>
      </c>
      <c r="K70" s="331">
        <f t="shared" si="41"/>
        <v>872.92806337177558</v>
      </c>
      <c r="L70" s="331">
        <f t="shared" si="41"/>
        <v>896.68056470858312</v>
      </c>
      <c r="M70" s="331">
        <f t="shared" si="41"/>
        <v>935.73531374396009</v>
      </c>
      <c r="N70" s="331">
        <f t="shared" si="41"/>
        <v>0</v>
      </c>
      <c r="O70" s="331">
        <f t="shared" si="41"/>
        <v>0</v>
      </c>
    </row>
    <row r="71" spans="1:15" s="66" customFormat="1" ht="13.5" thickBot="1" x14ac:dyDescent="0.35">
      <c r="A71" s="67"/>
      <c r="C71" s="326"/>
      <c r="D71" s="323"/>
      <c r="E71" s="323"/>
      <c r="F71" s="323"/>
      <c r="G71" s="323"/>
      <c r="H71" s="323"/>
      <c r="I71" s="323"/>
      <c r="J71" s="323"/>
      <c r="K71" s="323"/>
      <c r="L71" s="323"/>
      <c r="M71" s="323"/>
      <c r="N71" s="323"/>
      <c r="O71" s="323"/>
    </row>
    <row r="72" spans="1:15" s="66" customFormat="1" ht="13.5" thickBot="1" x14ac:dyDescent="0.35">
      <c r="A72" s="67" t="s">
        <v>262</v>
      </c>
      <c r="B72" s="67" t="s">
        <v>58</v>
      </c>
      <c r="C72" s="326"/>
      <c r="D72" s="332">
        <v>0</v>
      </c>
      <c r="E72" s="323">
        <f>D75</f>
        <v>0</v>
      </c>
      <c r="F72" s="323">
        <f t="shared" ref="F72:O72" si="42">E75</f>
        <v>0</v>
      </c>
      <c r="G72" s="323">
        <f t="shared" si="42"/>
        <v>0</v>
      </c>
      <c r="H72" s="323">
        <f t="shared" si="42"/>
        <v>0</v>
      </c>
      <c r="I72" s="323">
        <f t="shared" si="42"/>
        <v>0</v>
      </c>
      <c r="J72" s="323">
        <f t="shared" si="42"/>
        <v>0</v>
      </c>
      <c r="K72" s="323">
        <f t="shared" si="42"/>
        <v>0</v>
      </c>
      <c r="L72" s="323">
        <f t="shared" si="42"/>
        <v>0</v>
      </c>
      <c r="M72" s="323">
        <f t="shared" si="42"/>
        <v>0</v>
      </c>
      <c r="N72" s="323">
        <f t="shared" si="42"/>
        <v>0</v>
      </c>
      <c r="O72" s="323">
        <f t="shared" si="42"/>
        <v>0</v>
      </c>
    </row>
    <row r="73" spans="1:15" s="66" customFormat="1" ht="13" x14ac:dyDescent="0.3">
      <c r="A73" s="67" t="s">
        <v>29</v>
      </c>
      <c r="B73" s="67" t="str">
        <f>B54</f>
        <v>US$ 000 Nominal</v>
      </c>
      <c r="C73" s="326"/>
      <c r="D73" s="323">
        <f>D72+D70</f>
        <v>68.836575920569871</v>
      </c>
      <c r="E73" s="323">
        <f>E72+E70</f>
        <v>110.60972511715315</v>
      </c>
      <c r="F73" s="323">
        <f t="shared" ref="F73:O73" si="43">F72+F70</f>
        <v>124.06653882615645</v>
      </c>
      <c r="G73" s="323">
        <f t="shared" si="43"/>
        <v>243.6768417991027</v>
      </c>
      <c r="H73" s="323">
        <f t="shared" si="43"/>
        <v>457.93982258571737</v>
      </c>
      <c r="I73" s="323">
        <f t="shared" si="43"/>
        <v>690.6408548615168</v>
      </c>
      <c r="J73" s="323">
        <f t="shared" si="43"/>
        <v>832.52642586023978</v>
      </c>
      <c r="K73" s="323">
        <f t="shared" si="43"/>
        <v>872.92806337177558</v>
      </c>
      <c r="L73" s="323">
        <f t="shared" si="43"/>
        <v>896.68056470858312</v>
      </c>
      <c r="M73" s="323">
        <f t="shared" si="43"/>
        <v>935.73531374396009</v>
      </c>
      <c r="N73" s="323">
        <f t="shared" si="43"/>
        <v>0</v>
      </c>
      <c r="O73" s="323">
        <f t="shared" si="43"/>
        <v>0</v>
      </c>
    </row>
    <row r="74" spans="1:15" s="334" customFormat="1" ht="13" x14ac:dyDescent="0.3">
      <c r="A74" s="333" t="s">
        <v>51</v>
      </c>
      <c r="B74" s="67" t="str">
        <f>B55</f>
        <v>US$ 000  Nominal</v>
      </c>
      <c r="C74" s="326">
        <f t="shared" ref="C74" si="44">SUM(D74:O74)</f>
        <v>5233.6407267947752</v>
      </c>
      <c r="D74" s="326">
        <f>IF(D73&lt;0,0,D73)</f>
        <v>68.836575920569871</v>
      </c>
      <c r="E74" s="326">
        <f>IF(E73&lt;0,0,E73)</f>
        <v>110.60972511715315</v>
      </c>
      <c r="F74" s="326">
        <f t="shared" ref="F74:O74" si="45">IF(F73&lt;0,0,F73)</f>
        <v>124.06653882615645</v>
      </c>
      <c r="G74" s="326">
        <f t="shared" si="45"/>
        <v>243.6768417991027</v>
      </c>
      <c r="H74" s="326">
        <f t="shared" si="45"/>
        <v>457.93982258571737</v>
      </c>
      <c r="I74" s="326">
        <f t="shared" si="45"/>
        <v>690.6408548615168</v>
      </c>
      <c r="J74" s="326">
        <f t="shared" si="45"/>
        <v>832.52642586023978</v>
      </c>
      <c r="K74" s="326">
        <f t="shared" si="45"/>
        <v>872.92806337177558</v>
      </c>
      <c r="L74" s="326">
        <f t="shared" si="45"/>
        <v>896.68056470858312</v>
      </c>
      <c r="M74" s="326">
        <f t="shared" si="45"/>
        <v>935.73531374396009</v>
      </c>
      <c r="N74" s="326">
        <f t="shared" si="45"/>
        <v>0</v>
      </c>
      <c r="O74" s="326">
        <f t="shared" si="45"/>
        <v>0</v>
      </c>
    </row>
    <row r="75" spans="1:15" s="66" customFormat="1" ht="13" x14ac:dyDescent="0.3">
      <c r="A75" s="67" t="s">
        <v>263</v>
      </c>
      <c r="B75" s="67" t="str">
        <f>B56</f>
        <v>US$ 000 Nominal</v>
      </c>
      <c r="C75" s="326"/>
      <c r="D75" s="323">
        <f>IF(D73&lt;0,D73,0)</f>
        <v>0</v>
      </c>
      <c r="E75" s="323">
        <f>IF(E73&lt;0,E73,0)</f>
        <v>0</v>
      </c>
      <c r="F75" s="323">
        <f t="shared" ref="F75:O75" si="46">IF(F73&lt;0,F73,0)</f>
        <v>0</v>
      </c>
      <c r="G75" s="323">
        <f t="shared" si="46"/>
        <v>0</v>
      </c>
      <c r="H75" s="323">
        <f t="shared" si="46"/>
        <v>0</v>
      </c>
      <c r="I75" s="323">
        <f t="shared" si="46"/>
        <v>0</v>
      </c>
      <c r="J75" s="323">
        <f t="shared" si="46"/>
        <v>0</v>
      </c>
      <c r="K75" s="323">
        <f t="shared" si="46"/>
        <v>0</v>
      </c>
      <c r="L75" s="323">
        <f t="shared" si="46"/>
        <v>0</v>
      </c>
      <c r="M75" s="323">
        <f t="shared" si="46"/>
        <v>0</v>
      </c>
      <c r="N75" s="323">
        <f t="shared" si="46"/>
        <v>0</v>
      </c>
      <c r="O75" s="323">
        <f t="shared" si="46"/>
        <v>0</v>
      </c>
    </row>
    <row r="76" spans="1:15" s="63" customFormat="1" ht="13" x14ac:dyDescent="0.3">
      <c r="A76" s="68"/>
      <c r="C76" s="208"/>
      <c r="D76" s="207"/>
      <c r="E76" s="207"/>
      <c r="F76" s="207"/>
      <c r="G76" s="207"/>
      <c r="H76" s="207"/>
      <c r="I76" s="207"/>
      <c r="J76" s="207"/>
      <c r="K76" s="207"/>
      <c r="L76" s="207"/>
      <c r="M76" s="207"/>
      <c r="N76" s="207"/>
      <c r="O76" s="207"/>
    </row>
    <row r="77" spans="1:15" s="63" customFormat="1" ht="13" x14ac:dyDescent="0.3">
      <c r="A77" s="335" t="str">
        <f>Taxes!A68</f>
        <v>Company income tax rate</v>
      </c>
      <c r="B77" s="329" t="str">
        <f>Taxes!B68</f>
        <v>% of assessable income</v>
      </c>
      <c r="C77" s="336"/>
      <c r="D77" s="338">
        <f>Taxes!D68</f>
        <v>0.25</v>
      </c>
      <c r="E77" s="337">
        <f>Taxes!E68</f>
        <v>0.25</v>
      </c>
      <c r="F77" s="337">
        <f>Taxes!F68</f>
        <v>0.25</v>
      </c>
      <c r="G77" s="337">
        <f>Taxes!G68</f>
        <v>0.25</v>
      </c>
      <c r="H77" s="337">
        <f>Taxes!H68</f>
        <v>0.25</v>
      </c>
      <c r="I77" s="337">
        <f>Taxes!I68</f>
        <v>0.25</v>
      </c>
      <c r="J77" s="337">
        <f>Taxes!J68</f>
        <v>0.25</v>
      </c>
      <c r="K77" s="337">
        <f>Taxes!K68</f>
        <v>0.25</v>
      </c>
      <c r="L77" s="337">
        <f>Taxes!L68</f>
        <v>0.25</v>
      </c>
      <c r="M77" s="337">
        <f>Taxes!M68</f>
        <v>0.25</v>
      </c>
      <c r="N77" s="337">
        <f>Taxes!N68</f>
        <v>0.25</v>
      </c>
      <c r="O77" s="337">
        <f>Taxes!O68</f>
        <v>0.25</v>
      </c>
    </row>
    <row r="78" spans="1:15" s="77" customFormat="1" x14ac:dyDescent="0.35">
      <c r="A78" s="77" t="s">
        <v>217</v>
      </c>
      <c r="B78" s="78" t="s">
        <v>58</v>
      </c>
      <c r="C78" s="320">
        <f>SUM(D78:O78)</f>
        <v>1308.4101816986938</v>
      </c>
      <c r="D78" s="79">
        <f>D74*D77</f>
        <v>17.209143980142468</v>
      </c>
      <c r="E78" s="79">
        <f t="shared" ref="E78:O78" si="47">E74*E77</f>
        <v>27.652431279288287</v>
      </c>
      <c r="F78" s="79">
        <f t="shared" si="47"/>
        <v>31.016634706539111</v>
      </c>
      <c r="G78" s="79">
        <f t="shared" si="47"/>
        <v>60.919210449775676</v>
      </c>
      <c r="H78" s="79">
        <f t="shared" si="47"/>
        <v>114.48495564642934</v>
      </c>
      <c r="I78" s="79">
        <f t="shared" si="47"/>
        <v>172.6602137153792</v>
      </c>
      <c r="J78" s="79">
        <f t="shared" si="47"/>
        <v>208.13160646505995</v>
      </c>
      <c r="K78" s="79">
        <f t="shared" si="47"/>
        <v>218.23201584294389</v>
      </c>
      <c r="L78" s="79">
        <f t="shared" si="47"/>
        <v>224.17014117714578</v>
      </c>
      <c r="M78" s="79">
        <f t="shared" si="47"/>
        <v>233.93382843599002</v>
      </c>
      <c r="N78" s="79">
        <f t="shared" si="47"/>
        <v>0</v>
      </c>
      <c r="O78" s="79">
        <f t="shared" si="47"/>
        <v>0</v>
      </c>
    </row>
    <row r="79" spans="1:15" s="87" customFormat="1" ht="30" customHeight="1" x14ac:dyDescent="0.35">
      <c r="A79" s="348" t="s">
        <v>409</v>
      </c>
      <c r="B79" s="351"/>
      <c r="C79" s="340"/>
      <c r="D79" s="352"/>
      <c r="E79" s="352"/>
      <c r="F79" s="352"/>
      <c r="G79" s="352"/>
      <c r="H79" s="352"/>
      <c r="I79" s="352"/>
      <c r="J79" s="352"/>
      <c r="K79" s="352"/>
      <c r="L79" s="352"/>
      <c r="M79" s="352"/>
      <c r="N79" s="352"/>
      <c r="O79" s="352"/>
    </row>
    <row r="80" spans="1:15" s="63" customFormat="1" ht="13" x14ac:dyDescent="0.3">
      <c r="A80" s="329" t="str">
        <f>Taxes!A48</f>
        <v>4c.  Minimum Tax</v>
      </c>
      <c r="B80" s="329" t="str">
        <f>Taxes!B48</f>
        <v>US$ 000  Real</v>
      </c>
      <c r="C80" s="336"/>
      <c r="D80" s="353">
        <f>Taxes!D48</f>
        <v>16.890909090909091</v>
      </c>
      <c r="E80" s="353">
        <f>Taxes!E48</f>
        <v>17.595102272727271</v>
      </c>
      <c r="F80" s="353">
        <f>Taxes!F48</f>
        <v>19.057217000000001</v>
      </c>
      <c r="G80" s="353">
        <f>Taxes!G48</f>
        <v>22.371028644000003</v>
      </c>
      <c r="H80" s="353">
        <f>Taxes!H48</f>
        <v>27.474551848016006</v>
      </c>
      <c r="I80" s="353">
        <f>Taxes!I48</f>
        <v>33.498832386430379</v>
      </c>
      <c r="J80" s="353">
        <f>Taxes!J48</f>
        <v>36.785113463456099</v>
      </c>
      <c r="K80" s="353">
        <f>Taxes!K48</f>
        <v>37.205463337863584</v>
      </c>
      <c r="L80" s="353">
        <f>Taxes!L48</f>
        <v>37.632001595326031</v>
      </c>
      <c r="M80" s="353">
        <f>Taxes!M48</f>
        <v>38.064853519471221</v>
      </c>
      <c r="N80" s="353">
        <f>Taxes!N48</f>
        <v>0</v>
      </c>
      <c r="O80" s="353">
        <f>Taxes!O48</f>
        <v>0</v>
      </c>
    </row>
    <row r="81" spans="1:15" s="63" customFormat="1" ht="13" x14ac:dyDescent="0.3">
      <c r="A81" s="68" t="str">
        <f>A$26</f>
        <v>Inflator - US$</v>
      </c>
      <c r="B81" s="68"/>
      <c r="C81" s="208"/>
      <c r="D81" s="330">
        <f t="shared" ref="D81:O81" si="48">D$26</f>
        <v>1.0099504938362078</v>
      </c>
      <c r="E81" s="330">
        <f t="shared" si="48"/>
        <v>1.030149503712932</v>
      </c>
      <c r="F81" s="330">
        <f t="shared" si="48"/>
        <v>1.0507524937871906</v>
      </c>
      <c r="G81" s="330">
        <f t="shared" si="48"/>
        <v>1.0717675436629344</v>
      </c>
      <c r="H81" s="330">
        <f t="shared" si="48"/>
        <v>1.0932028945361931</v>
      </c>
      <c r="I81" s="330">
        <f t="shared" si="48"/>
        <v>1.115066952426917</v>
      </c>
      <c r="J81" s="330">
        <f t="shared" si="48"/>
        <v>1.1373682914754553</v>
      </c>
      <c r="K81" s="330">
        <f t="shared" si="48"/>
        <v>1.1601156573049645</v>
      </c>
      <c r="L81" s="330">
        <f t="shared" si="48"/>
        <v>1.1833179704510637</v>
      </c>
      <c r="M81" s="330">
        <f t="shared" si="48"/>
        <v>1.2069843298600851</v>
      </c>
      <c r="N81" s="330">
        <f t="shared" si="48"/>
        <v>1.2311240164572868</v>
      </c>
      <c r="O81" s="330">
        <f t="shared" si="48"/>
        <v>1.2557464967864325</v>
      </c>
    </row>
    <row r="82" spans="1:15" s="63" customFormat="1" ht="13" x14ac:dyDescent="0.3">
      <c r="A82" s="68" t="s">
        <v>410</v>
      </c>
      <c r="B82" s="68" t="s">
        <v>58</v>
      </c>
      <c r="C82" s="208">
        <f t="shared" ref="C82" si="49">SUM(D82:O82)</f>
        <v>322.0493967788708</v>
      </c>
      <c r="D82" s="339">
        <f>D80*D81</f>
        <v>17.058981977706129</v>
      </c>
      <c r="E82" s="339">
        <f t="shared" ref="E82" si="50">E80*E81</f>
        <v>18.125585874028282</v>
      </c>
      <c r="F82" s="339">
        <f t="shared" ref="F82" si="51">F80*F81</f>
        <v>20.024418287393644</v>
      </c>
      <c r="G82" s="339">
        <f t="shared" ref="G82" si="52">G80*G81</f>
        <v>23.976542418993027</v>
      </c>
      <c r="H82" s="339">
        <f t="shared" ref="H82" si="53">H80*H81</f>
        <v>30.03525960633581</v>
      </c>
      <c r="I82" s="339">
        <f t="shared" ref="I82" si="54">I80*I81</f>
        <v>37.353440938997032</v>
      </c>
      <c r="J82" s="339">
        <f t="shared" ref="J82" si="55">J80*J81</f>
        <v>41.838221651661833</v>
      </c>
      <c r="K82" s="339">
        <f t="shared" ref="K82" si="56">K80*K81</f>
        <v>43.162640555541373</v>
      </c>
      <c r="L82" s="339">
        <f t="shared" ref="L82" si="57">L80*L81</f>
        <v>44.53062375179239</v>
      </c>
      <c r="M82" s="339">
        <f t="shared" ref="M82" si="58">M80*M81</f>
        <v>45.943681716421274</v>
      </c>
      <c r="N82" s="339">
        <f t="shared" ref="N82" si="59">N80*N81</f>
        <v>0</v>
      </c>
      <c r="O82" s="339">
        <f t="shared" ref="O82" si="60">O80*O81</f>
        <v>0</v>
      </c>
    </row>
    <row r="83" spans="1:15" s="87" customFormat="1" ht="30" customHeight="1" x14ac:dyDescent="0.35">
      <c r="A83" s="348" t="s">
        <v>411</v>
      </c>
      <c r="B83" s="351"/>
      <c r="C83" s="340"/>
      <c r="D83" s="352"/>
      <c r="E83" s="352"/>
      <c r="F83" s="352"/>
      <c r="G83" s="352"/>
      <c r="H83" s="352"/>
      <c r="I83" s="352"/>
      <c r="J83" s="352"/>
      <c r="K83" s="352"/>
      <c r="L83" s="352"/>
      <c r="M83" s="352"/>
      <c r="N83" s="352"/>
      <c r="O83" s="352"/>
    </row>
    <row r="84" spans="1:15" s="87" customFormat="1" x14ac:dyDescent="0.35">
      <c r="A84" s="87" t="str">
        <f>A83</f>
        <v>3 c. Income Tax/ Minimum Tax - after project funding</v>
      </c>
      <c r="B84" s="78" t="s">
        <v>58</v>
      </c>
      <c r="C84" s="340">
        <f t="shared" ref="C84:C86" si="61">SUM(D84:O84)</f>
        <v>1308.4101816986938</v>
      </c>
      <c r="D84" s="341">
        <f t="shared" ref="D84:O84" si="62">MAX(D78,D82)</f>
        <v>17.209143980142468</v>
      </c>
      <c r="E84" s="341">
        <f t="shared" si="62"/>
        <v>27.652431279288287</v>
      </c>
      <c r="F84" s="341">
        <f t="shared" si="62"/>
        <v>31.016634706539111</v>
      </c>
      <c r="G84" s="341">
        <f t="shared" si="62"/>
        <v>60.919210449775676</v>
      </c>
      <c r="H84" s="341">
        <f t="shared" si="62"/>
        <v>114.48495564642934</v>
      </c>
      <c r="I84" s="341">
        <f t="shared" si="62"/>
        <v>172.6602137153792</v>
      </c>
      <c r="J84" s="341">
        <f t="shared" si="62"/>
        <v>208.13160646505995</v>
      </c>
      <c r="K84" s="341">
        <f t="shared" si="62"/>
        <v>218.23201584294389</v>
      </c>
      <c r="L84" s="341">
        <f t="shared" si="62"/>
        <v>224.17014117714578</v>
      </c>
      <c r="M84" s="341">
        <f t="shared" si="62"/>
        <v>233.93382843599002</v>
      </c>
      <c r="N84" s="341">
        <f t="shared" si="62"/>
        <v>0</v>
      </c>
      <c r="O84" s="341">
        <f t="shared" si="62"/>
        <v>0</v>
      </c>
    </row>
    <row r="85" spans="1:15" s="63" customFormat="1" ht="13" x14ac:dyDescent="0.3">
      <c r="A85" s="68" t="str">
        <f>A$26</f>
        <v>Inflator - US$</v>
      </c>
      <c r="B85" s="68"/>
      <c r="C85" s="208"/>
      <c r="D85" s="330">
        <f t="shared" ref="D85:O85" si="63">D$26</f>
        <v>1.0099504938362078</v>
      </c>
      <c r="E85" s="330">
        <f t="shared" si="63"/>
        <v>1.030149503712932</v>
      </c>
      <c r="F85" s="330">
        <f t="shared" si="63"/>
        <v>1.0507524937871906</v>
      </c>
      <c r="G85" s="330">
        <f t="shared" si="63"/>
        <v>1.0717675436629344</v>
      </c>
      <c r="H85" s="330">
        <f t="shared" si="63"/>
        <v>1.0932028945361931</v>
      </c>
      <c r="I85" s="330">
        <f t="shared" si="63"/>
        <v>1.115066952426917</v>
      </c>
      <c r="J85" s="330">
        <f t="shared" si="63"/>
        <v>1.1373682914754553</v>
      </c>
      <c r="K85" s="330">
        <f t="shared" si="63"/>
        <v>1.1601156573049645</v>
      </c>
      <c r="L85" s="330">
        <f t="shared" si="63"/>
        <v>1.1833179704510637</v>
      </c>
      <c r="M85" s="330">
        <f t="shared" si="63"/>
        <v>1.2069843298600851</v>
      </c>
      <c r="N85" s="330">
        <f t="shared" si="63"/>
        <v>1.2311240164572868</v>
      </c>
      <c r="O85" s="330">
        <f t="shared" si="63"/>
        <v>1.2557464967864325</v>
      </c>
    </row>
    <row r="86" spans="1:15" s="77" customFormat="1" x14ac:dyDescent="0.35">
      <c r="A86" s="77" t="str">
        <f>A84</f>
        <v>3 c. Income Tax/ Minimum Tax - after project funding</v>
      </c>
      <c r="B86" s="78" t="s">
        <v>18</v>
      </c>
      <c r="C86" s="320">
        <f t="shared" si="61"/>
        <v>1144.1735431151528</v>
      </c>
      <c r="D86" s="79">
        <f>D84/D85</f>
        <v>17.039591628669889</v>
      </c>
      <c r="E86" s="79">
        <f t="shared" ref="E86:O86" si="64">E84/E85</f>
        <v>26.843124400508461</v>
      </c>
      <c r="F86" s="79">
        <f t="shared" si="64"/>
        <v>29.518497353022628</v>
      </c>
      <c r="G86" s="79">
        <f t="shared" si="64"/>
        <v>56.839947066856197</v>
      </c>
      <c r="H86" s="79">
        <f t="shared" si="64"/>
        <v>104.72434368644917</v>
      </c>
      <c r="I86" s="79">
        <f t="shared" si="64"/>
        <v>154.84291175483975</v>
      </c>
      <c r="J86" s="79">
        <f t="shared" si="64"/>
        <v>182.9940293087127</v>
      </c>
      <c r="K86" s="79">
        <f t="shared" si="64"/>
        <v>188.1122924846245</v>
      </c>
      <c r="L86" s="79">
        <f t="shared" si="64"/>
        <v>189.44201539650021</v>
      </c>
      <c r="M86" s="79">
        <f t="shared" si="64"/>
        <v>193.81679003496913</v>
      </c>
      <c r="N86" s="79">
        <f t="shared" si="64"/>
        <v>0</v>
      </c>
      <c r="O86" s="79">
        <f t="shared" si="64"/>
        <v>0</v>
      </c>
    </row>
    <row r="87" spans="1:15" s="4" customFormat="1" ht="48" customHeight="1" x14ac:dyDescent="0.45">
      <c r="A87" s="149" t="s">
        <v>214</v>
      </c>
      <c r="C87" s="34"/>
      <c r="D87" s="147"/>
      <c r="E87" s="147"/>
      <c r="F87" s="147"/>
      <c r="G87" s="147"/>
      <c r="H87" s="147"/>
      <c r="I87" s="147"/>
      <c r="J87" s="147"/>
      <c r="K87" s="147"/>
      <c r="L87" s="147"/>
      <c r="M87" s="147"/>
      <c r="N87" s="147"/>
      <c r="O87" s="147"/>
    </row>
    <row r="88" spans="1:15" x14ac:dyDescent="0.35">
      <c r="A88" s="355" t="s">
        <v>412</v>
      </c>
      <c r="C88" s="3"/>
    </row>
    <row r="89" spans="1:15" s="12" customFormat="1" ht="13" x14ac:dyDescent="0.3">
      <c r="A89" s="235" t="str">
        <f>Taxes!A72</f>
        <v>4e  Income Tax or Minimum Tax  (before project funding)</v>
      </c>
      <c r="B89" s="235" t="str">
        <f>Taxes!B72</f>
        <v>US$ 000 Real</v>
      </c>
      <c r="C89" s="244">
        <f>Taxes!C72</f>
        <v>1155.432603649248</v>
      </c>
      <c r="D89" s="244">
        <f>Taxes!D72</f>
        <v>18.556148194271486</v>
      </c>
      <c r="E89" s="244">
        <f>Taxes!E72</f>
        <v>31.68131683271065</v>
      </c>
      <c r="F89" s="244">
        <f>Taxes!F72</f>
        <v>33.596102258986264</v>
      </c>
      <c r="G89" s="244">
        <f>Taxes!G72</f>
        <v>57.666653697184074</v>
      </c>
      <c r="H89" s="244">
        <f>Taxes!H72</f>
        <v>104.72434368644917</v>
      </c>
      <c r="I89" s="244">
        <f>Taxes!I72</f>
        <v>154.84291175483975</v>
      </c>
      <c r="J89" s="244">
        <f>Taxes!J72</f>
        <v>182.9940293087127</v>
      </c>
      <c r="K89" s="244">
        <f>Taxes!K72</f>
        <v>188.1122924846245</v>
      </c>
      <c r="L89" s="244">
        <f>Taxes!L72</f>
        <v>189.44201539650021</v>
      </c>
      <c r="M89" s="244">
        <f>Taxes!M72</f>
        <v>193.81679003496913</v>
      </c>
      <c r="N89" s="244">
        <f>Taxes!N72</f>
        <v>0</v>
      </c>
      <c r="O89" s="244">
        <f>Taxes!O72</f>
        <v>0</v>
      </c>
    </row>
    <row r="90" spans="1:15" s="199" customFormat="1" ht="18.5" x14ac:dyDescent="0.45">
      <c r="A90" s="199" t="s">
        <v>216</v>
      </c>
      <c r="B90" s="343" t="str">
        <f>B86</f>
        <v>US$ 000 Real</v>
      </c>
      <c r="C90" s="83">
        <f t="shared" ref="C90" si="65">SUM(D90:O90)</f>
        <v>-11.259060534095298</v>
      </c>
      <c r="D90" s="342">
        <f>D86-D89</f>
        <v>-1.5165565656015971</v>
      </c>
      <c r="E90" s="342">
        <f t="shared" ref="E90" si="66">E86-E89</f>
        <v>-4.8381924322021881</v>
      </c>
      <c r="F90" s="342">
        <f t="shared" ref="F90" si="67">F86-F89</f>
        <v>-4.0776049059636357</v>
      </c>
      <c r="G90" s="342">
        <f t="shared" ref="G90" si="68">G86-G89</f>
        <v>-0.82670663032787672</v>
      </c>
      <c r="H90" s="342">
        <f t="shared" ref="H90" si="69">H86-H89</f>
        <v>0</v>
      </c>
      <c r="I90" s="342">
        <f t="shared" ref="I90" si="70">I86-I89</f>
        <v>0</v>
      </c>
      <c r="J90" s="342">
        <f t="shared" ref="J90" si="71">J86-J89</f>
        <v>0</v>
      </c>
      <c r="K90" s="342">
        <f t="shared" ref="K90" si="72">K86-K89</f>
        <v>0</v>
      </c>
      <c r="L90" s="342">
        <f t="shared" ref="L90" si="73">L86-L89</f>
        <v>0</v>
      </c>
      <c r="M90" s="342">
        <f t="shared" ref="M90" si="74">M86-M89</f>
        <v>0</v>
      </c>
      <c r="N90" s="342">
        <f t="shared" ref="N90" si="75">N86-N89</f>
        <v>0</v>
      </c>
      <c r="O90" s="342">
        <f t="shared" ref="O90" si="76">O86-O89</f>
        <v>0</v>
      </c>
    </row>
  </sheetData>
  <pageMargins left="0.70866141732283472" right="0.70866141732283472" top="0.74803149606299213" bottom="0.74803149606299213" header="0.31496062992125984" footer="0.31496062992125984"/>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8FA34-AF35-4225-BEFE-BEFD59B45F63}">
  <dimension ref="A1:Q132"/>
  <sheetViews>
    <sheetView zoomScaleNormal="100" workbookViewId="0">
      <selection activeCell="B2" sqref="B2"/>
    </sheetView>
  </sheetViews>
  <sheetFormatPr defaultColWidth="8.81640625" defaultRowHeight="14.5" x14ac:dyDescent="0.35"/>
  <cols>
    <col min="1" max="1" width="50.453125" customWidth="1"/>
    <col min="2" max="2" width="17.81640625" style="103" customWidth="1"/>
    <col min="3" max="3" width="14.26953125" style="84" customWidth="1"/>
    <col min="4" max="15" width="10.7265625" customWidth="1"/>
  </cols>
  <sheetData>
    <row r="1" spans="1:17" s="47" customFormat="1" ht="30.75" customHeight="1" x14ac:dyDescent="0.35">
      <c r="A1" s="150" t="str">
        <f>'Intro, Audits'!A1</f>
        <v>worked example - Business Model plus funding and accounting 10 years - Base Case</v>
      </c>
      <c r="B1" s="157"/>
      <c r="C1" s="157"/>
      <c r="D1" s="157"/>
      <c r="E1" s="157"/>
    </row>
    <row r="2" spans="1:17" s="126" customFormat="1" ht="32" customHeight="1" x14ac:dyDescent="0.35">
      <c r="A2" s="38" t="s">
        <v>413</v>
      </c>
      <c r="B2" s="19"/>
      <c r="C2" s="183"/>
      <c r="D2" s="125"/>
      <c r="E2" s="125"/>
      <c r="F2" s="125"/>
      <c r="G2" s="125"/>
      <c r="H2" s="125"/>
      <c r="I2" s="125"/>
      <c r="J2" s="125"/>
      <c r="K2" s="125"/>
      <c r="L2" s="125"/>
      <c r="M2" s="125"/>
      <c r="N2" s="125"/>
      <c r="O2" s="125"/>
    </row>
    <row r="4" spans="1:17" s="311" customFormat="1" ht="21" customHeight="1" x14ac:dyDescent="0.35">
      <c r="A4" s="308" t="str">
        <f>'Sales &amp; Revenue'!A$25</f>
        <v>Years --&gt;</v>
      </c>
      <c r="B4" s="321" t="str">
        <f>'Sales &amp; Revenue'!B$25</f>
        <v>units</v>
      </c>
      <c r="C4" s="309" t="str">
        <f>'Sales &amp; Revenue'!C$25</f>
        <v>Total</v>
      </c>
      <c r="D4" s="310">
        <f>'Sales &amp; Revenue'!D$25</f>
        <v>2026</v>
      </c>
      <c r="E4" s="310">
        <f>'Sales &amp; Revenue'!E$25</f>
        <v>2027</v>
      </c>
      <c r="F4" s="310">
        <f>'Sales &amp; Revenue'!F$25</f>
        <v>2028</v>
      </c>
      <c r="G4" s="310">
        <f>'Sales &amp; Revenue'!G$25</f>
        <v>2029</v>
      </c>
      <c r="H4" s="310">
        <f>'Sales &amp; Revenue'!H$25</f>
        <v>2030</v>
      </c>
      <c r="I4" s="310">
        <f>'Sales &amp; Revenue'!I$25</f>
        <v>2031</v>
      </c>
      <c r="J4" s="310">
        <f>'Sales &amp; Revenue'!J$25</f>
        <v>2032</v>
      </c>
      <c r="K4" s="310">
        <f>'Sales &amp; Revenue'!K$25</f>
        <v>2033</v>
      </c>
      <c r="L4" s="310">
        <f>'Sales &amp; Revenue'!L$25</f>
        <v>2034</v>
      </c>
      <c r="M4" s="310">
        <f>'Sales &amp; Revenue'!M$25</f>
        <v>2035</v>
      </c>
      <c r="N4" s="310">
        <f>'Sales &amp; Revenue'!N$25</f>
        <v>2036</v>
      </c>
      <c r="O4" s="310">
        <f>'Sales &amp; Revenue'!O$25</f>
        <v>2037</v>
      </c>
    </row>
    <row r="5" spans="1:17" ht="27" customHeight="1" x14ac:dyDescent="0.45">
      <c r="A5" s="356" t="s">
        <v>417</v>
      </c>
    </row>
    <row r="6" spans="1:17" s="315" customFormat="1" ht="55" customHeight="1" x14ac:dyDescent="0.35">
      <c r="A6" s="38" t="s">
        <v>68</v>
      </c>
      <c r="B6" s="322"/>
      <c r="C6" s="313"/>
      <c r="D6" s="314"/>
      <c r="E6" s="314"/>
      <c r="F6" s="314"/>
      <c r="G6" s="314"/>
      <c r="H6" s="314"/>
      <c r="I6" s="314"/>
      <c r="J6" s="314"/>
      <c r="K6" s="314"/>
      <c r="L6" s="314"/>
      <c r="M6" s="314"/>
      <c r="N6" s="314"/>
      <c r="O6" s="314"/>
    </row>
    <row r="7" spans="1:17" x14ac:dyDescent="0.35">
      <c r="A7" s="155" t="s">
        <v>71</v>
      </c>
      <c r="C7" s="45"/>
      <c r="D7" s="44"/>
      <c r="E7" s="44"/>
      <c r="F7" s="44"/>
      <c r="G7" s="44"/>
      <c r="H7" s="44"/>
      <c r="I7" s="44"/>
      <c r="J7" s="44"/>
      <c r="K7" s="44"/>
      <c r="L7" s="44"/>
      <c r="M7" s="44"/>
      <c r="N7" s="44"/>
      <c r="O7" s="44"/>
      <c r="P7" s="44"/>
      <c r="Q7" s="44"/>
    </row>
    <row r="8" spans="1:17" s="88" customFormat="1" x14ac:dyDescent="0.35">
      <c r="A8" s="88" t="str">
        <f>A66</f>
        <v>Revenue from ABC units</v>
      </c>
      <c r="B8" s="104" t="str">
        <f>B66</f>
        <v>US$ 000 Nominal</v>
      </c>
      <c r="C8" s="92">
        <f t="shared" ref="C8:C30" si="0">SUM(D8:O8)</f>
        <v>32294.578905571849</v>
      </c>
      <c r="D8" s="93">
        <f t="shared" ref="D8:O8" si="1">D66</f>
        <v>1787.6123740900878</v>
      </c>
      <c r="E8" s="93">
        <f t="shared" si="1"/>
        <v>1890.8806200452352</v>
      </c>
      <c r="F8" s="93">
        <f t="shared" si="1"/>
        <v>2079.1366945769387</v>
      </c>
      <c r="G8" s="93">
        <f t="shared" si="1"/>
        <v>2458.5693950370819</v>
      </c>
      <c r="H8" s="93">
        <f t="shared" si="1"/>
        <v>3016.3964498240271</v>
      </c>
      <c r="I8" s="93">
        <f t="shared" si="1"/>
        <v>3713.455187858749</v>
      </c>
      <c r="J8" s="93">
        <f t="shared" si="1"/>
        <v>4149.3176416524166</v>
      </c>
      <c r="K8" s="93">
        <f t="shared" si="1"/>
        <v>4272.0876520336269</v>
      </c>
      <c r="L8" s="93">
        <f t="shared" si="1"/>
        <v>4398.4901814819987</v>
      </c>
      <c r="M8" s="93">
        <f t="shared" si="1"/>
        <v>4528.6327089716879</v>
      </c>
      <c r="N8" s="93">
        <f t="shared" si="1"/>
        <v>0</v>
      </c>
      <c r="O8" s="93">
        <f t="shared" si="1"/>
        <v>0</v>
      </c>
      <c r="P8" s="90"/>
      <c r="Q8" s="90"/>
    </row>
    <row r="9" spans="1:17" s="88" customFormat="1" x14ac:dyDescent="0.35">
      <c r="A9" s="88" t="str">
        <f>A68</f>
        <v xml:space="preserve">Cash Grants from Results Based Financing </v>
      </c>
      <c r="B9" s="104" t="str">
        <f>B68</f>
        <v>US$ 000 Nominal</v>
      </c>
      <c r="C9" s="92">
        <f t="shared" si="0"/>
        <v>1657.1022949873852</v>
      </c>
      <c r="D9" s="93">
        <f t="shared" ref="D9:O9" si="2">D68</f>
        <v>80.796039506896619</v>
      </c>
      <c r="E9" s="93">
        <f t="shared" si="2"/>
        <v>87.047633063742751</v>
      </c>
      <c r="F9" s="93">
        <f t="shared" si="2"/>
        <v>97.667444297519367</v>
      </c>
      <c r="G9" s="93">
        <f t="shared" si="2"/>
        <v>118.24811309233155</v>
      </c>
      <c r="H9" s="93">
        <f t="shared" si="2"/>
        <v>149.34135421969484</v>
      </c>
      <c r="I9" s="93">
        <f t="shared" si="2"/>
        <v>189.1977585793895</v>
      </c>
      <c r="J9" s="93">
        <f t="shared" si="2"/>
        <v>216.69222011023217</v>
      </c>
      <c r="K9" s="93">
        <f t="shared" si="2"/>
        <v>227.65684644780995</v>
      </c>
      <c r="L9" s="93">
        <f t="shared" si="2"/>
        <v>239.17628287806912</v>
      </c>
      <c r="M9" s="93">
        <f t="shared" si="2"/>
        <v>251.2786027916994</v>
      </c>
      <c r="N9" s="93">
        <f t="shared" si="2"/>
        <v>0</v>
      </c>
      <c r="O9" s="93">
        <f t="shared" si="2"/>
        <v>0</v>
      </c>
      <c r="P9" s="90"/>
      <c r="Q9" s="90"/>
    </row>
    <row r="10" spans="1:17" s="88" customFormat="1" x14ac:dyDescent="0.35">
      <c r="A10" s="88" t="str">
        <f>A70</f>
        <v>Commissions from international sales of ABC's</v>
      </c>
      <c r="B10" s="104" t="str">
        <f>B70</f>
        <v>US$ 000 Nominal</v>
      </c>
      <c r="C10" s="92">
        <f t="shared" si="0"/>
        <v>1189.1292869252841</v>
      </c>
      <c r="D10" s="93">
        <f t="shared" ref="D10:O10" si="3">D70</f>
        <v>0</v>
      </c>
      <c r="E10" s="93">
        <f t="shared" si="3"/>
        <v>6.5285724797807072</v>
      </c>
      <c r="F10" s="93">
        <f t="shared" si="3"/>
        <v>14.650116644627905</v>
      </c>
      <c r="G10" s="93">
        <f t="shared" si="3"/>
        <v>44.343042409624331</v>
      </c>
      <c r="H10" s="93">
        <f t="shared" si="3"/>
        <v>112.00601566477114</v>
      </c>
      <c r="I10" s="93">
        <f t="shared" si="3"/>
        <v>170.27798272145054</v>
      </c>
      <c r="J10" s="93">
        <f t="shared" si="3"/>
        <v>195.02299809920896</v>
      </c>
      <c r="K10" s="93">
        <f t="shared" si="3"/>
        <v>204.89116180302892</v>
      </c>
      <c r="L10" s="93">
        <f t="shared" si="3"/>
        <v>215.25865459026221</v>
      </c>
      <c r="M10" s="93">
        <f t="shared" si="3"/>
        <v>226.15074251252949</v>
      </c>
      <c r="N10" s="93">
        <f t="shared" si="3"/>
        <v>0</v>
      </c>
      <c r="O10" s="93">
        <f t="shared" si="3"/>
        <v>0</v>
      </c>
      <c r="P10" s="90"/>
      <c r="Q10" s="90"/>
    </row>
    <row r="11" spans="1:17" s="88" customFormat="1" x14ac:dyDescent="0.35">
      <c r="A11" s="94" t="s">
        <v>71</v>
      </c>
      <c r="B11" s="104" t="s">
        <v>58</v>
      </c>
      <c r="C11" s="92">
        <f t="shared" si="0"/>
        <v>35140.810487484516</v>
      </c>
      <c r="D11" s="95">
        <f>SUM(D8:D10)</f>
        <v>1868.4084135969845</v>
      </c>
      <c r="E11" s="95">
        <f t="shared" ref="E11:O11" si="4">SUM(E8:E10)</f>
        <v>1984.4568255887586</v>
      </c>
      <c r="F11" s="95">
        <f t="shared" si="4"/>
        <v>2191.454255519086</v>
      </c>
      <c r="G11" s="95">
        <f t="shared" si="4"/>
        <v>2621.160550539038</v>
      </c>
      <c r="H11" s="95">
        <f t="shared" si="4"/>
        <v>3277.743819708493</v>
      </c>
      <c r="I11" s="95">
        <f t="shared" si="4"/>
        <v>4072.9309291595887</v>
      </c>
      <c r="J11" s="95">
        <f t="shared" si="4"/>
        <v>4561.032859861858</v>
      </c>
      <c r="K11" s="95">
        <f t="shared" si="4"/>
        <v>4704.6356602844653</v>
      </c>
      <c r="L11" s="95">
        <f t="shared" si="4"/>
        <v>4852.9251189503302</v>
      </c>
      <c r="M11" s="95">
        <f t="shared" si="4"/>
        <v>5006.0620542759161</v>
      </c>
      <c r="N11" s="95">
        <f t="shared" si="4"/>
        <v>0</v>
      </c>
      <c r="O11" s="95">
        <f t="shared" si="4"/>
        <v>0</v>
      </c>
      <c r="P11" s="90"/>
      <c r="Q11" s="90"/>
    </row>
    <row r="12" spans="1:17" s="88" customFormat="1" ht="10.5" customHeight="1" x14ac:dyDescent="0.35">
      <c r="B12" s="104"/>
      <c r="C12" s="92"/>
      <c r="D12" s="93"/>
      <c r="E12" s="93"/>
      <c r="F12" s="93"/>
      <c r="G12" s="93"/>
      <c r="H12" s="93"/>
      <c r="I12" s="93"/>
      <c r="J12" s="93"/>
      <c r="K12" s="93"/>
      <c r="L12" s="93"/>
      <c r="M12" s="93"/>
      <c r="N12" s="93"/>
      <c r="O12" s="93"/>
      <c r="P12" s="90"/>
      <c r="Q12" s="90"/>
    </row>
    <row r="13" spans="1:17" s="88" customFormat="1" x14ac:dyDescent="0.35">
      <c r="A13" s="394" t="s">
        <v>72</v>
      </c>
      <c r="B13" s="104"/>
      <c r="C13" s="92"/>
      <c r="D13" s="93"/>
      <c r="E13" s="93"/>
      <c r="F13" s="93"/>
      <c r="G13" s="93"/>
      <c r="H13" s="93"/>
      <c r="I13" s="93"/>
      <c r="J13" s="93"/>
      <c r="K13" s="93"/>
      <c r="L13" s="93"/>
      <c r="M13" s="93"/>
      <c r="N13" s="93"/>
      <c r="O13" s="93"/>
      <c r="P13" s="90"/>
      <c r="Q13" s="90"/>
    </row>
    <row r="14" spans="1:17" s="88" customFormat="1" ht="15.5" x14ac:dyDescent="0.35">
      <c r="A14" s="88" t="s">
        <v>73</v>
      </c>
      <c r="B14" s="104" t="s">
        <v>57</v>
      </c>
      <c r="C14" s="92"/>
      <c r="D14" s="357">
        <v>0</v>
      </c>
      <c r="E14" s="93">
        <f>-D16</f>
        <v>-80.519340741462045</v>
      </c>
      <c r="F14" s="93">
        <f t="shared" ref="F14:O14" si="5">-E16</f>
        <v>-85.299765700319696</v>
      </c>
      <c r="G14" s="93">
        <f t="shared" si="5"/>
        <v>-93.79221037344351</v>
      </c>
      <c r="H14" s="93">
        <f t="shared" si="5"/>
        <v>-110.59952995570718</v>
      </c>
      <c r="I14" s="93">
        <f t="shared" si="5"/>
        <v>-134.70569990044478</v>
      </c>
      <c r="J14" s="93">
        <f t="shared" si="5"/>
        <v>-164.65128501207047</v>
      </c>
      <c r="K14" s="93">
        <f t="shared" si="5"/>
        <v>-183.268448209387</v>
      </c>
      <c r="L14" s="93">
        <f t="shared" si="5"/>
        <v>-188.6909950550064</v>
      </c>
      <c r="M14" s="93">
        <f t="shared" si="5"/>
        <v>-194.27398421669389</v>
      </c>
      <c r="N14" s="93">
        <f t="shared" si="5"/>
        <v>0</v>
      </c>
      <c r="O14" s="93">
        <f t="shared" si="5"/>
        <v>0</v>
      </c>
      <c r="P14" s="90"/>
      <c r="Q14" s="90"/>
    </row>
    <row r="15" spans="1:17" s="88" customFormat="1" x14ac:dyDescent="0.35">
      <c r="A15" s="88" t="str">
        <f>A74</f>
        <v>Cost of purchasing ABC units ex-factory</v>
      </c>
      <c r="B15" s="104" t="str">
        <f>B74</f>
        <v>US$ 000 Nominal</v>
      </c>
      <c r="C15" s="92">
        <f t="shared" si="0"/>
        <v>-17469.679288489497</v>
      </c>
      <c r="D15" s="93">
        <f>-D74</f>
        <v>-1060.1713197625836</v>
      </c>
      <c r="E15" s="93">
        <f t="shared" ref="E15:O15" si="6">-E74</f>
        <v>-1042.6264487157105</v>
      </c>
      <c r="F15" s="93">
        <f t="shared" si="6"/>
        <v>-1149.6651241229667</v>
      </c>
      <c r="G15" s="93">
        <f t="shared" si="6"/>
        <v>-1362.4724509275172</v>
      </c>
      <c r="H15" s="93">
        <f t="shared" si="6"/>
        <v>-1663.069758545465</v>
      </c>
      <c r="I15" s="93">
        <f t="shared" si="6"/>
        <v>-2033.2567683717764</v>
      </c>
      <c r="J15" s="93">
        <f t="shared" si="6"/>
        <v>-2248.4491435921968</v>
      </c>
      <c r="K15" s="93">
        <f t="shared" si="6"/>
        <v>-2301.2362940608141</v>
      </c>
      <c r="L15" s="93">
        <f t="shared" si="6"/>
        <v>-2369.325273529485</v>
      </c>
      <c r="M15" s="93">
        <f t="shared" si="6"/>
        <v>-2239.4067068609784</v>
      </c>
      <c r="N15" s="93">
        <f t="shared" si="6"/>
        <v>0</v>
      </c>
      <c r="O15" s="93">
        <f t="shared" si="6"/>
        <v>0</v>
      </c>
      <c r="P15" s="90"/>
      <c r="Q15" s="90"/>
    </row>
    <row r="16" spans="1:17" s="88" customFormat="1" x14ac:dyDescent="0.35">
      <c r="A16" s="88" t="str">
        <f>A78</f>
        <v>Working stocks of ABC's - closing</v>
      </c>
      <c r="B16" s="104" t="str">
        <f>B78</f>
        <v>US$ 000 Nominal</v>
      </c>
      <c r="C16" s="92"/>
      <c r="D16" s="93">
        <f t="shared" ref="D16:O16" si="7">D78</f>
        <v>80.519340741462045</v>
      </c>
      <c r="E16" s="93">
        <f t="shared" si="7"/>
        <v>85.299765700319696</v>
      </c>
      <c r="F16" s="93">
        <f t="shared" si="7"/>
        <v>93.79221037344351</v>
      </c>
      <c r="G16" s="93">
        <f t="shared" si="7"/>
        <v>110.59952995570718</v>
      </c>
      <c r="H16" s="93">
        <f t="shared" si="7"/>
        <v>134.70569990044478</v>
      </c>
      <c r="I16" s="93">
        <f t="shared" si="7"/>
        <v>164.65128501207047</v>
      </c>
      <c r="J16" s="93">
        <f t="shared" si="7"/>
        <v>183.268448209387</v>
      </c>
      <c r="K16" s="93">
        <f t="shared" si="7"/>
        <v>188.6909950550064</v>
      </c>
      <c r="L16" s="93">
        <f t="shared" si="7"/>
        <v>194.27398421669389</v>
      </c>
      <c r="M16" s="93">
        <f t="shared" si="7"/>
        <v>0</v>
      </c>
      <c r="N16" s="93">
        <f t="shared" si="7"/>
        <v>0</v>
      </c>
      <c r="O16" s="93">
        <f t="shared" si="7"/>
        <v>0</v>
      </c>
      <c r="P16" s="90"/>
      <c r="Q16" s="90"/>
    </row>
    <row r="17" spans="1:17" s="88" customFormat="1" x14ac:dyDescent="0.35">
      <c r="A17" s="94" t="s">
        <v>72</v>
      </c>
      <c r="B17" s="104" t="s">
        <v>57</v>
      </c>
      <c r="C17" s="92">
        <f t="shared" si="0"/>
        <v>-17469.679288489497</v>
      </c>
      <c r="D17" s="95">
        <f>SUM(D14:D16)</f>
        <v>-979.65197902112152</v>
      </c>
      <c r="E17" s="95">
        <f>SUM(E14:E16)</f>
        <v>-1037.8460237568527</v>
      </c>
      <c r="F17" s="95">
        <f t="shared" ref="F17:O17" si="8">SUM(F14:F16)</f>
        <v>-1141.1726794498429</v>
      </c>
      <c r="G17" s="95">
        <f t="shared" si="8"/>
        <v>-1345.6651313452537</v>
      </c>
      <c r="H17" s="95">
        <f t="shared" si="8"/>
        <v>-1638.9635886007272</v>
      </c>
      <c r="I17" s="95">
        <f t="shared" si="8"/>
        <v>-2003.3111832601505</v>
      </c>
      <c r="J17" s="95">
        <f t="shared" si="8"/>
        <v>-2229.8319803948802</v>
      </c>
      <c r="K17" s="95">
        <f t="shared" si="8"/>
        <v>-2295.8137472151948</v>
      </c>
      <c r="L17" s="95">
        <f t="shared" si="8"/>
        <v>-2363.7422843677978</v>
      </c>
      <c r="M17" s="95">
        <f t="shared" si="8"/>
        <v>-2433.6806910776722</v>
      </c>
      <c r="N17" s="95">
        <f t="shared" si="8"/>
        <v>0</v>
      </c>
      <c r="O17" s="95">
        <f t="shared" si="8"/>
        <v>0</v>
      </c>
      <c r="P17" s="90"/>
      <c r="Q17" s="90"/>
    </row>
    <row r="18" spans="1:17" s="88" customFormat="1" x14ac:dyDescent="0.35">
      <c r="B18" s="395"/>
      <c r="C18" s="90"/>
      <c r="D18" s="90"/>
      <c r="E18" s="90"/>
      <c r="F18" s="90"/>
      <c r="G18" s="90"/>
      <c r="H18" s="90"/>
      <c r="I18" s="90"/>
      <c r="J18" s="90"/>
      <c r="K18" s="90"/>
      <c r="L18" s="90"/>
      <c r="M18" s="90"/>
      <c r="N18" s="90"/>
      <c r="O18" s="90"/>
      <c r="P18" s="90"/>
      <c r="Q18" s="90"/>
    </row>
    <row r="19" spans="1:17" s="88" customFormat="1" x14ac:dyDescent="0.35">
      <c r="A19" s="394" t="s">
        <v>74</v>
      </c>
      <c r="B19" s="104"/>
      <c r="C19" s="92"/>
      <c r="D19" s="93"/>
      <c r="E19" s="93"/>
      <c r="F19" s="93"/>
      <c r="G19" s="93"/>
      <c r="H19" s="93"/>
      <c r="I19" s="93"/>
      <c r="J19" s="93"/>
      <c r="K19" s="93"/>
      <c r="L19" s="93"/>
      <c r="M19" s="93"/>
      <c r="N19" s="93"/>
      <c r="O19" s="93"/>
      <c r="P19" s="90"/>
      <c r="Q19" s="90"/>
    </row>
    <row r="20" spans="1:17" s="88" customFormat="1" x14ac:dyDescent="0.35">
      <c r="A20" s="88" t="str">
        <f>A85</f>
        <v>Expenses (incl WHT)</v>
      </c>
      <c r="B20" s="104" t="str">
        <f>B85</f>
        <v>US$ 000 Nominal</v>
      </c>
      <c r="C20" s="92">
        <f t="shared" si="0"/>
        <v>-11082.591674244743</v>
      </c>
      <c r="D20" s="93">
        <f>-D85</f>
        <v>-684.65747893484945</v>
      </c>
      <c r="E20" s="93">
        <f t="shared" ref="E20:O20" si="9">-E85</f>
        <v>-705.17554537110766</v>
      </c>
      <c r="F20" s="93">
        <f t="shared" si="9"/>
        <v>-774.32716977286577</v>
      </c>
      <c r="G20" s="93">
        <f t="shared" si="9"/>
        <v>-890.73663784948099</v>
      </c>
      <c r="H20" s="93">
        <f t="shared" si="9"/>
        <v>-1041.7823364099004</v>
      </c>
      <c r="I20" s="93">
        <f t="shared" si="9"/>
        <v>-1232.6956264772348</v>
      </c>
      <c r="J20" s="93">
        <f t="shared" si="9"/>
        <v>-1363.2552118574804</v>
      </c>
      <c r="K20" s="93">
        <f t="shared" si="9"/>
        <v>-1417.6098678812989</v>
      </c>
      <c r="L20" s="93">
        <f t="shared" si="9"/>
        <v>-1477.8704084165302</v>
      </c>
      <c r="M20" s="93">
        <f t="shared" si="9"/>
        <v>-1494.4813912739933</v>
      </c>
      <c r="N20" s="93">
        <f t="shared" si="9"/>
        <v>0</v>
      </c>
      <c r="O20" s="93">
        <f t="shared" si="9"/>
        <v>0</v>
      </c>
      <c r="P20" s="90"/>
      <c r="Q20" s="90"/>
    </row>
    <row r="21" spans="1:17" s="88" customFormat="1" x14ac:dyDescent="0.35"/>
    <row r="22" spans="1:17" s="88" customFormat="1" x14ac:dyDescent="0.35">
      <c r="A22" s="394" t="s">
        <v>283</v>
      </c>
      <c r="B22" s="104"/>
      <c r="C22" s="92"/>
      <c r="D22" s="93"/>
      <c r="E22" s="93"/>
      <c r="F22" s="93"/>
      <c r="G22" s="93"/>
      <c r="H22" s="93"/>
      <c r="I22" s="93"/>
      <c r="J22" s="93"/>
      <c r="K22" s="93"/>
      <c r="L22" s="93"/>
      <c r="M22" s="93"/>
      <c r="N22" s="93"/>
      <c r="O22" s="93"/>
      <c r="P22" s="90"/>
      <c r="Q22" s="90"/>
    </row>
    <row r="23" spans="1:17" s="88" customFormat="1" x14ac:dyDescent="0.35">
      <c r="A23" s="91" t="str">
        <f>A102</f>
        <v>Accounting depreciation (after erosion by local inflation above US inflation)</v>
      </c>
      <c r="B23" s="105" t="str">
        <f>B102</f>
        <v>US$ 000  Nominal</v>
      </c>
      <c r="C23" s="92">
        <f t="shared" si="0"/>
        <v>-1067.7250419880986</v>
      </c>
      <c r="D23" s="97">
        <f>-D102</f>
        <v>-78.731130988888538</v>
      </c>
      <c r="E23" s="97">
        <f t="shared" ref="E23:O23" si="10">-E102</f>
        <v>-78.452601044352377</v>
      </c>
      <c r="F23" s="97">
        <f t="shared" si="10"/>
        <v>-81.413076555460023</v>
      </c>
      <c r="G23" s="97">
        <f t="shared" si="10"/>
        <v>-91.165921385649639</v>
      </c>
      <c r="H23" s="97">
        <f t="shared" si="10"/>
        <v>-106.49086492300299</v>
      </c>
      <c r="I23" s="97">
        <f t="shared" si="10"/>
        <v>-124.77920641612963</v>
      </c>
      <c r="J23" s="97">
        <f t="shared" si="10"/>
        <v>-132.17932031336872</v>
      </c>
      <c r="K23" s="97">
        <f t="shared" si="10"/>
        <v>-128.4383961535564</v>
      </c>
      <c r="L23" s="97">
        <f t="shared" si="10"/>
        <v>-124.80334720581423</v>
      </c>
      <c r="M23" s="97">
        <f t="shared" si="10"/>
        <v>-121.27117700187607</v>
      </c>
      <c r="N23" s="97">
        <f t="shared" si="10"/>
        <v>0</v>
      </c>
      <c r="O23" s="97">
        <f t="shared" si="10"/>
        <v>0</v>
      </c>
      <c r="P23" s="90"/>
      <c r="Q23" s="90"/>
    </row>
    <row r="24" spans="1:17" s="88" customFormat="1" x14ac:dyDescent="0.35">
      <c r="B24" s="104"/>
      <c r="C24" s="92"/>
      <c r="D24" s="97"/>
      <c r="E24" s="97"/>
      <c r="F24" s="97"/>
      <c r="G24" s="97"/>
      <c r="H24" s="97"/>
      <c r="I24" s="97"/>
      <c r="J24" s="97"/>
      <c r="K24" s="97"/>
      <c r="L24" s="97"/>
      <c r="M24" s="97"/>
      <c r="N24" s="97"/>
      <c r="O24" s="97"/>
      <c r="P24" s="90"/>
      <c r="Q24" s="90"/>
    </row>
    <row r="25" spans="1:17" s="88" customFormat="1" x14ac:dyDescent="0.35">
      <c r="A25" s="94" t="s">
        <v>220</v>
      </c>
      <c r="B25" s="104" t="s">
        <v>57</v>
      </c>
      <c r="C25" s="92">
        <f t="shared" si="0"/>
        <v>5520.8144827621845</v>
      </c>
      <c r="D25" s="95">
        <f t="shared" ref="D25:O25" si="11">D11+D17+D20+D23</f>
        <v>125.36782465212497</v>
      </c>
      <c r="E25" s="95">
        <f t="shared" si="11"/>
        <v>162.98265541644594</v>
      </c>
      <c r="F25" s="95">
        <f t="shared" si="11"/>
        <v>194.54132974091732</v>
      </c>
      <c r="G25" s="95">
        <f t="shared" si="11"/>
        <v>293.59285995865366</v>
      </c>
      <c r="H25" s="95">
        <f t="shared" si="11"/>
        <v>490.50702977486242</v>
      </c>
      <c r="I25" s="95">
        <f t="shared" si="11"/>
        <v>712.14491300607392</v>
      </c>
      <c r="J25" s="95">
        <f t="shared" si="11"/>
        <v>835.76634729612863</v>
      </c>
      <c r="K25" s="95">
        <f t="shared" si="11"/>
        <v>862.77364903441526</v>
      </c>
      <c r="L25" s="95">
        <f t="shared" si="11"/>
        <v>886.50907896018805</v>
      </c>
      <c r="M25" s="95">
        <f t="shared" si="11"/>
        <v>956.6287949223746</v>
      </c>
      <c r="N25" s="95">
        <f t="shared" si="11"/>
        <v>0</v>
      </c>
      <c r="O25" s="95">
        <f t="shared" si="11"/>
        <v>0</v>
      </c>
      <c r="P25" s="90"/>
      <c r="Q25" s="90"/>
    </row>
    <row r="26" spans="1:17" s="63" customFormat="1" ht="13" x14ac:dyDescent="0.3">
      <c r="A26" s="396" t="s">
        <v>271</v>
      </c>
      <c r="B26" s="303"/>
      <c r="C26" s="397">
        <f t="shared" ref="C26:M26" si="12">C25/C11</f>
        <v>0.15710549660567549</v>
      </c>
      <c r="D26" s="397">
        <f t="shared" si="12"/>
        <v>6.709872624196328E-2</v>
      </c>
      <c r="E26" s="397">
        <f t="shared" si="12"/>
        <v>8.2129605096392777E-2</v>
      </c>
      <c r="F26" s="397">
        <f t="shared" si="12"/>
        <v>8.87727084656105E-2</v>
      </c>
      <c r="G26" s="397">
        <f t="shared" si="12"/>
        <v>0.1120087283086405</v>
      </c>
      <c r="H26" s="397">
        <f t="shared" si="12"/>
        <v>0.14964776283781867</v>
      </c>
      <c r="I26" s="397">
        <f t="shared" si="12"/>
        <v>0.17484826661497507</v>
      </c>
      <c r="J26" s="397">
        <f t="shared" si="12"/>
        <v>0.18324058891376674</v>
      </c>
      <c r="K26" s="397">
        <f t="shared" si="12"/>
        <v>0.1833879839660629</v>
      </c>
      <c r="L26" s="397">
        <f t="shared" si="12"/>
        <v>0.18267520252856007</v>
      </c>
      <c r="M26" s="397">
        <f t="shared" si="12"/>
        <v>0.19109407445424539</v>
      </c>
      <c r="N26" s="397"/>
      <c r="O26" s="397"/>
      <c r="P26" s="363"/>
      <c r="Q26" s="363"/>
    </row>
    <row r="27" spans="1:17" s="88" customFormat="1" x14ac:dyDescent="0.35">
      <c r="B27" s="104"/>
      <c r="C27" s="92"/>
      <c r="D27" s="93"/>
      <c r="E27" s="93"/>
      <c r="F27" s="93"/>
      <c r="G27" s="93"/>
      <c r="H27" s="93"/>
      <c r="I27" s="93"/>
      <c r="J27" s="93"/>
      <c r="K27" s="93"/>
      <c r="L27" s="93"/>
      <c r="M27" s="93"/>
      <c r="N27" s="93"/>
      <c r="O27" s="93"/>
      <c r="P27" s="90"/>
      <c r="Q27" s="90"/>
    </row>
    <row r="28" spans="1:17" s="88" customFormat="1" x14ac:dyDescent="0.35">
      <c r="A28" s="98" t="str">
        <f t="shared" ref="A28:B28" si="13">A112</f>
        <v>Income Tax on accounting profit</v>
      </c>
      <c r="B28" s="104" t="str">
        <f t="shared" si="13"/>
        <v>US$ 000  Nominal</v>
      </c>
      <c r="C28" s="92">
        <f t="shared" si="0"/>
        <v>1380.2036206905461</v>
      </c>
      <c r="D28" s="93">
        <f>D112</f>
        <v>31.341956163031242</v>
      </c>
      <c r="E28" s="93">
        <f t="shared" ref="E28:O28" si="14">E112</f>
        <v>40.745663854111484</v>
      </c>
      <c r="F28" s="93">
        <f t="shared" si="14"/>
        <v>48.63533243522933</v>
      </c>
      <c r="G28" s="93">
        <f t="shared" si="14"/>
        <v>73.398214989663416</v>
      </c>
      <c r="H28" s="93">
        <f t="shared" si="14"/>
        <v>122.6267574437156</v>
      </c>
      <c r="I28" s="93">
        <f t="shared" si="14"/>
        <v>178.03622825151848</v>
      </c>
      <c r="J28" s="93">
        <f t="shared" si="14"/>
        <v>208.94158682403216</v>
      </c>
      <c r="K28" s="93">
        <f t="shared" si="14"/>
        <v>215.69341225860381</v>
      </c>
      <c r="L28" s="93">
        <f t="shared" si="14"/>
        <v>221.62726974004701</v>
      </c>
      <c r="M28" s="93">
        <f t="shared" si="14"/>
        <v>239.15719873059365</v>
      </c>
      <c r="N28" s="93">
        <f t="shared" si="14"/>
        <v>0</v>
      </c>
      <c r="O28" s="93">
        <f t="shared" si="14"/>
        <v>0</v>
      </c>
      <c r="P28" s="90"/>
      <c r="Q28" s="90"/>
    </row>
    <row r="29" spans="1:17" s="88" customFormat="1" x14ac:dyDescent="0.35">
      <c r="A29" s="394" t="s">
        <v>221</v>
      </c>
      <c r="B29" s="104"/>
      <c r="C29" s="92"/>
      <c r="D29" s="93"/>
      <c r="E29" s="93"/>
      <c r="F29" s="93"/>
      <c r="G29" s="93"/>
      <c r="H29" s="93"/>
      <c r="I29" s="93"/>
      <c r="J29" s="93"/>
      <c r="K29" s="93"/>
      <c r="L29" s="93"/>
      <c r="M29" s="93"/>
      <c r="N29" s="93"/>
      <c r="O29" s="93"/>
      <c r="P29" s="90"/>
      <c r="Q29" s="90"/>
    </row>
    <row r="30" spans="1:17" s="88" customFormat="1" x14ac:dyDescent="0.35">
      <c r="A30" s="94" t="s">
        <v>221</v>
      </c>
      <c r="B30" s="104" t="s">
        <v>57</v>
      </c>
      <c r="C30" s="92">
        <f t="shared" si="0"/>
        <v>4140.6108620716386</v>
      </c>
      <c r="D30" s="100">
        <f t="shared" ref="D30:O30" si="15">D25-D28</f>
        <v>94.025868489093725</v>
      </c>
      <c r="E30" s="100">
        <f t="shared" si="15"/>
        <v>122.23699156233445</v>
      </c>
      <c r="F30" s="100">
        <f t="shared" si="15"/>
        <v>145.905997305688</v>
      </c>
      <c r="G30" s="100">
        <f t="shared" si="15"/>
        <v>220.19464496899025</v>
      </c>
      <c r="H30" s="100">
        <f t="shared" si="15"/>
        <v>367.88027233114678</v>
      </c>
      <c r="I30" s="100">
        <f t="shared" si="15"/>
        <v>534.1086847545555</v>
      </c>
      <c r="J30" s="100">
        <f t="shared" si="15"/>
        <v>626.8247604720965</v>
      </c>
      <c r="K30" s="100">
        <f t="shared" si="15"/>
        <v>647.0802367758115</v>
      </c>
      <c r="L30" s="100">
        <f t="shared" si="15"/>
        <v>664.88180922014101</v>
      </c>
      <c r="M30" s="100">
        <f t="shared" si="15"/>
        <v>717.47159619178092</v>
      </c>
      <c r="N30" s="100">
        <f t="shared" si="15"/>
        <v>0</v>
      </c>
      <c r="O30" s="100">
        <f t="shared" si="15"/>
        <v>0</v>
      </c>
      <c r="P30" s="90"/>
      <c r="Q30" s="90"/>
    </row>
    <row r="31" spans="1:17" s="88" customFormat="1" x14ac:dyDescent="0.35"/>
    <row r="32" spans="1:17" s="315" customFormat="1" ht="55" customHeight="1" x14ac:dyDescent="0.35">
      <c r="A32" s="38" t="s">
        <v>75</v>
      </c>
      <c r="B32" s="322"/>
      <c r="C32" s="313"/>
      <c r="D32" s="314"/>
      <c r="E32" s="314"/>
      <c r="F32" s="314"/>
      <c r="G32" s="314"/>
      <c r="H32" s="314"/>
      <c r="I32" s="314"/>
      <c r="J32" s="314"/>
      <c r="K32" s="314"/>
      <c r="L32" s="314"/>
      <c r="M32" s="314"/>
      <c r="N32" s="314"/>
      <c r="O32" s="314"/>
    </row>
    <row r="33" spans="1:17" s="88" customFormat="1" x14ac:dyDescent="0.35">
      <c r="A33" s="109" t="s">
        <v>239</v>
      </c>
      <c r="B33" s="107"/>
      <c r="C33" s="92"/>
      <c r="D33" s="93"/>
      <c r="E33" s="93"/>
      <c r="F33" s="93"/>
      <c r="G33" s="93"/>
      <c r="H33" s="93"/>
      <c r="I33" s="93"/>
      <c r="J33" s="93"/>
      <c r="K33" s="93"/>
      <c r="L33" s="93"/>
      <c r="M33" s="93"/>
      <c r="N33" s="93"/>
      <c r="O33" s="93"/>
      <c r="P33" s="91"/>
      <c r="Q33" s="91"/>
    </row>
    <row r="34" spans="1:17" s="88" customFormat="1" x14ac:dyDescent="0.35">
      <c r="A34" s="88" t="s">
        <v>292</v>
      </c>
      <c r="B34" s="106" t="str">
        <f>IF(B117&gt;0,B117,0)</f>
        <v>US$ 000 Nominal</v>
      </c>
      <c r="C34" s="92"/>
      <c r="D34" s="93">
        <f>IF(D117&gt;0,D117,0)</f>
        <v>0</v>
      </c>
      <c r="E34" s="93">
        <f t="shared" ref="E34:O34" si="16">IF(E117&gt;0,E117,0)</f>
        <v>0</v>
      </c>
      <c r="F34" s="93">
        <f t="shared" si="16"/>
        <v>0</v>
      </c>
      <c r="G34" s="93">
        <f t="shared" si="16"/>
        <v>0</v>
      </c>
      <c r="H34" s="93">
        <f t="shared" si="16"/>
        <v>201.1136164657411</v>
      </c>
      <c r="I34" s="93">
        <f t="shared" si="16"/>
        <v>713.16264196129646</v>
      </c>
      <c r="J34" s="93">
        <f t="shared" si="16"/>
        <v>1348.9360312580877</v>
      </c>
      <c r="K34" s="93">
        <f t="shared" si="16"/>
        <v>2029.6500303629725</v>
      </c>
      <c r="L34" s="93">
        <f t="shared" si="16"/>
        <v>2738.1882494017468</v>
      </c>
      <c r="M34" s="93">
        <f t="shared" si="16"/>
        <v>3854.8438938260506</v>
      </c>
      <c r="N34" s="93">
        <f t="shared" si="16"/>
        <v>4040.7651997087091</v>
      </c>
      <c r="O34" s="93">
        <f t="shared" si="16"/>
        <v>4121.5805037028831</v>
      </c>
      <c r="P34" s="91"/>
      <c r="Q34" s="91"/>
    </row>
    <row r="35" spans="1:17" s="88" customFormat="1" x14ac:dyDescent="0.35">
      <c r="A35" s="88" t="str">
        <f>A16</f>
        <v>Working stocks of ABC's - closing</v>
      </c>
      <c r="B35" s="107" t="str">
        <f>B16</f>
        <v>US$ 000 Nominal</v>
      </c>
      <c r="C35" s="92"/>
      <c r="D35" s="93">
        <f t="shared" ref="D35:O35" si="17">D16</f>
        <v>80.519340741462045</v>
      </c>
      <c r="E35" s="93">
        <f t="shared" si="17"/>
        <v>85.299765700319696</v>
      </c>
      <c r="F35" s="93">
        <f t="shared" si="17"/>
        <v>93.79221037344351</v>
      </c>
      <c r="G35" s="93">
        <f t="shared" si="17"/>
        <v>110.59952995570718</v>
      </c>
      <c r="H35" s="93">
        <f t="shared" si="17"/>
        <v>134.70569990044478</v>
      </c>
      <c r="I35" s="93">
        <f t="shared" si="17"/>
        <v>164.65128501207047</v>
      </c>
      <c r="J35" s="93">
        <f t="shared" si="17"/>
        <v>183.268448209387</v>
      </c>
      <c r="K35" s="93">
        <f t="shared" si="17"/>
        <v>188.6909950550064</v>
      </c>
      <c r="L35" s="93">
        <f t="shared" si="17"/>
        <v>194.27398421669389</v>
      </c>
      <c r="M35" s="93">
        <f t="shared" si="17"/>
        <v>0</v>
      </c>
      <c r="N35" s="93">
        <f t="shared" si="17"/>
        <v>0</v>
      </c>
      <c r="O35" s="93">
        <f t="shared" si="17"/>
        <v>0</v>
      </c>
      <c r="P35" s="91"/>
      <c r="Q35" s="91"/>
    </row>
    <row r="36" spans="1:17" s="88" customFormat="1" x14ac:dyDescent="0.35">
      <c r="A36" s="94" t="s">
        <v>239</v>
      </c>
      <c r="B36" s="107" t="s">
        <v>57</v>
      </c>
      <c r="C36" s="92"/>
      <c r="D36" s="102">
        <f>SUM(D34:D35)</f>
        <v>80.519340741462045</v>
      </c>
      <c r="E36" s="102">
        <f t="shared" ref="E36:O36" si="18">SUM(E34:E35)</f>
        <v>85.299765700319696</v>
      </c>
      <c r="F36" s="102">
        <f t="shared" si="18"/>
        <v>93.79221037344351</v>
      </c>
      <c r="G36" s="102">
        <f t="shared" si="18"/>
        <v>110.59952995570718</v>
      </c>
      <c r="H36" s="102">
        <f t="shared" si="18"/>
        <v>335.81931636618589</v>
      </c>
      <c r="I36" s="102">
        <f t="shared" si="18"/>
        <v>877.81392697336696</v>
      </c>
      <c r="J36" s="102">
        <f t="shared" si="18"/>
        <v>1532.2044794674748</v>
      </c>
      <c r="K36" s="102">
        <f t="shared" si="18"/>
        <v>2218.3410254179789</v>
      </c>
      <c r="L36" s="102">
        <f t="shared" si="18"/>
        <v>2932.4622336184407</v>
      </c>
      <c r="M36" s="102">
        <f t="shared" si="18"/>
        <v>3854.8438938260506</v>
      </c>
      <c r="N36" s="102">
        <f t="shared" si="18"/>
        <v>4040.7651997087091</v>
      </c>
      <c r="O36" s="102">
        <f t="shared" si="18"/>
        <v>4121.5805037028831</v>
      </c>
      <c r="P36" s="91"/>
      <c r="Q36" s="91"/>
    </row>
    <row r="37" spans="1:17" s="88" customFormat="1" ht="7.5" customHeight="1" x14ac:dyDescent="0.35">
      <c r="A37" s="94"/>
      <c r="B37" s="107"/>
      <c r="C37" s="92"/>
      <c r="D37" s="97"/>
      <c r="E37" s="97"/>
      <c r="F37" s="97"/>
      <c r="G37" s="97"/>
      <c r="H37" s="97"/>
      <c r="I37" s="97"/>
      <c r="J37" s="97"/>
      <c r="K37" s="97"/>
      <c r="L37" s="97"/>
      <c r="M37" s="97"/>
      <c r="N37" s="97"/>
      <c r="O37" s="97"/>
      <c r="P37" s="91"/>
      <c r="Q37" s="91"/>
    </row>
    <row r="38" spans="1:17" s="88" customFormat="1" x14ac:dyDescent="0.35">
      <c r="A38" s="109" t="s">
        <v>236</v>
      </c>
      <c r="B38" s="107"/>
      <c r="C38" s="92"/>
      <c r="D38" s="93"/>
      <c r="E38" s="93"/>
      <c r="F38" s="93"/>
      <c r="G38" s="93"/>
      <c r="H38" s="93"/>
      <c r="I38" s="93"/>
      <c r="J38" s="93"/>
      <c r="K38" s="93"/>
      <c r="L38" s="93"/>
      <c r="M38" s="93"/>
      <c r="N38" s="93"/>
      <c r="O38" s="93"/>
      <c r="P38" s="91"/>
      <c r="Q38" s="91"/>
    </row>
    <row r="39" spans="1:17" s="88" customFormat="1" x14ac:dyDescent="0.35">
      <c r="A39" s="88" t="str">
        <f>A90</f>
        <v>Plant &amp; Equipment - closing balance</v>
      </c>
      <c r="B39" s="107" t="str">
        <f>B90</f>
        <v>US$ 000  Nominal</v>
      </c>
      <c r="C39" s="93"/>
      <c r="D39" s="93">
        <f t="shared" ref="D39:O39" si="19">D90</f>
        <v>327.35760263051782</v>
      </c>
      <c r="E39" s="93">
        <f t="shared" si="19"/>
        <v>636.00905653929181</v>
      </c>
      <c r="F39" s="93">
        <f t="shared" si="19"/>
        <v>848.13678304386735</v>
      </c>
      <c r="G39" s="93">
        <f t="shared" si="19"/>
        <v>920.13899421170618</v>
      </c>
      <c r="H39" s="93">
        <f t="shared" si="19"/>
        <v>997.90138227297211</v>
      </c>
      <c r="I39" s="93">
        <f t="shared" si="19"/>
        <v>1081.8847613791393</v>
      </c>
      <c r="J39" s="93">
        <f t="shared" si="19"/>
        <v>1172.5868108138</v>
      </c>
      <c r="K39" s="93">
        <f t="shared" si="19"/>
        <v>1270.5450242032334</v>
      </c>
      <c r="L39" s="93">
        <f t="shared" si="19"/>
        <v>1376.3398946638215</v>
      </c>
      <c r="M39" s="93">
        <f t="shared" si="19"/>
        <v>1490.5983547612566</v>
      </c>
      <c r="N39" s="93">
        <f t="shared" si="19"/>
        <v>1490.5983547612566</v>
      </c>
      <c r="O39" s="93">
        <f t="shared" si="19"/>
        <v>1490.5983547612566</v>
      </c>
      <c r="P39" s="91"/>
      <c r="Q39" s="91"/>
    </row>
    <row r="40" spans="1:17" s="88" customFormat="1" x14ac:dyDescent="0.35">
      <c r="A40" s="88" t="str">
        <f>A103</f>
        <v>accumulated depreciation</v>
      </c>
      <c r="B40" s="107" t="str">
        <f>B103</f>
        <v>US$ 000  Nominal</v>
      </c>
      <c r="C40" s="93"/>
      <c r="D40" s="93">
        <f t="shared" ref="D40:O40" si="20">D103</f>
        <v>78.731130988888538</v>
      </c>
      <c r="E40" s="93">
        <f t="shared" si="20"/>
        <v>157.18373203324091</v>
      </c>
      <c r="F40" s="93">
        <f t="shared" si="20"/>
        <v>238.59680858870092</v>
      </c>
      <c r="G40" s="93">
        <f t="shared" si="20"/>
        <v>329.76272997435058</v>
      </c>
      <c r="H40" s="93">
        <f t="shared" si="20"/>
        <v>436.25359489735354</v>
      </c>
      <c r="I40" s="93">
        <f t="shared" si="20"/>
        <v>561.03280131348311</v>
      </c>
      <c r="J40" s="93">
        <f t="shared" si="20"/>
        <v>693.21212162685185</v>
      </c>
      <c r="K40" s="93">
        <f t="shared" si="20"/>
        <v>821.65051778040822</v>
      </c>
      <c r="L40" s="93">
        <f t="shared" si="20"/>
        <v>946.45386498622247</v>
      </c>
      <c r="M40" s="93">
        <f t="shared" si="20"/>
        <v>1067.7250419880986</v>
      </c>
      <c r="N40" s="93">
        <f t="shared" si="20"/>
        <v>1067.7250419880986</v>
      </c>
      <c r="O40" s="93">
        <f t="shared" si="20"/>
        <v>1067.7250419880986</v>
      </c>
      <c r="P40" s="91"/>
      <c r="Q40" s="91"/>
    </row>
    <row r="41" spans="1:17" s="88" customFormat="1" x14ac:dyDescent="0.35">
      <c r="A41" s="94" t="s">
        <v>291</v>
      </c>
      <c r="B41" s="107" t="str">
        <f>B104</f>
        <v>US$ 000  Nominal</v>
      </c>
      <c r="C41" s="92"/>
      <c r="D41" s="102">
        <f>D39-D40</f>
        <v>248.62647164162928</v>
      </c>
      <c r="E41" s="102">
        <f t="shared" ref="E41:O41" si="21">E39-E40</f>
        <v>478.82532450605089</v>
      </c>
      <c r="F41" s="102">
        <f t="shared" si="21"/>
        <v>609.53997445516643</v>
      </c>
      <c r="G41" s="102">
        <f t="shared" si="21"/>
        <v>590.3762642373556</v>
      </c>
      <c r="H41" s="102">
        <f t="shared" si="21"/>
        <v>561.64778737561858</v>
      </c>
      <c r="I41" s="102">
        <f t="shared" si="21"/>
        <v>520.85196006565616</v>
      </c>
      <c r="J41" s="102">
        <f t="shared" si="21"/>
        <v>479.3746891869481</v>
      </c>
      <c r="K41" s="102">
        <f t="shared" si="21"/>
        <v>448.8945064228252</v>
      </c>
      <c r="L41" s="102">
        <f t="shared" si="21"/>
        <v>429.88602967759903</v>
      </c>
      <c r="M41" s="102">
        <f t="shared" si="21"/>
        <v>422.87331277315798</v>
      </c>
      <c r="N41" s="102">
        <f t="shared" si="21"/>
        <v>422.87331277315798</v>
      </c>
      <c r="O41" s="102">
        <f t="shared" si="21"/>
        <v>422.87331277315798</v>
      </c>
      <c r="P41" s="91"/>
      <c r="Q41" s="91"/>
    </row>
    <row r="42" spans="1:17" s="88" customFormat="1" ht="7.5" customHeight="1" x14ac:dyDescent="0.35">
      <c r="B42" s="107"/>
      <c r="C42" s="89"/>
      <c r="D42" s="90"/>
      <c r="E42" s="90"/>
      <c r="F42" s="90"/>
      <c r="G42" s="90"/>
      <c r="H42" s="90"/>
      <c r="I42" s="90"/>
      <c r="J42" s="90"/>
      <c r="K42" s="90"/>
      <c r="L42" s="90"/>
      <c r="M42" s="90"/>
      <c r="N42" s="90"/>
      <c r="O42" s="90"/>
      <c r="P42" s="91"/>
      <c r="Q42" s="91"/>
    </row>
    <row r="43" spans="1:17" s="88" customFormat="1" x14ac:dyDescent="0.35">
      <c r="A43" s="94" t="s">
        <v>237</v>
      </c>
      <c r="B43" s="107" t="s">
        <v>57</v>
      </c>
      <c r="C43" s="92"/>
      <c r="D43" s="100">
        <f>D36+D41</f>
        <v>329.14581238309131</v>
      </c>
      <c r="E43" s="100">
        <f t="shared" ref="E43:O43" si="22">E36+E41</f>
        <v>564.1250902063706</v>
      </c>
      <c r="F43" s="100">
        <f t="shared" si="22"/>
        <v>703.33218482860991</v>
      </c>
      <c r="G43" s="100">
        <f t="shared" si="22"/>
        <v>700.97579419306282</v>
      </c>
      <c r="H43" s="100">
        <f t="shared" si="22"/>
        <v>897.46710374180452</v>
      </c>
      <c r="I43" s="100">
        <f t="shared" si="22"/>
        <v>1398.6658870390231</v>
      </c>
      <c r="J43" s="100">
        <f t="shared" si="22"/>
        <v>2011.579168654423</v>
      </c>
      <c r="K43" s="100">
        <f t="shared" si="22"/>
        <v>2667.235531840804</v>
      </c>
      <c r="L43" s="100">
        <f t="shared" si="22"/>
        <v>3362.3482632960395</v>
      </c>
      <c r="M43" s="100">
        <f t="shared" si="22"/>
        <v>4277.717206599209</v>
      </c>
      <c r="N43" s="100">
        <f t="shared" si="22"/>
        <v>4463.6385124818671</v>
      </c>
      <c r="O43" s="100">
        <f t="shared" si="22"/>
        <v>4544.4538164760415</v>
      </c>
      <c r="P43" s="91"/>
      <c r="Q43" s="91"/>
    </row>
    <row r="44" spans="1:17" s="88" customFormat="1" ht="32.25" customHeight="1" x14ac:dyDescent="0.35">
      <c r="B44" s="107"/>
      <c r="C44" s="92"/>
      <c r="D44" s="93"/>
      <c r="E44" s="93"/>
      <c r="F44" s="93"/>
      <c r="G44" s="93"/>
      <c r="H44" s="93"/>
      <c r="I44" s="93"/>
      <c r="J44" s="93"/>
      <c r="K44" s="93"/>
      <c r="L44" s="93"/>
      <c r="M44" s="93"/>
      <c r="N44" s="93"/>
      <c r="O44" s="93"/>
      <c r="P44" s="91"/>
      <c r="Q44" s="91"/>
    </row>
    <row r="45" spans="1:17" s="88" customFormat="1" x14ac:dyDescent="0.35">
      <c r="A45" s="109" t="s">
        <v>238</v>
      </c>
      <c r="B45" s="107"/>
      <c r="C45" s="92"/>
      <c r="D45" s="93"/>
      <c r="E45" s="93"/>
      <c r="F45" s="93"/>
      <c r="G45" s="93"/>
      <c r="H45" s="93"/>
      <c r="I45" s="93"/>
      <c r="J45" s="93"/>
      <c r="K45" s="93"/>
      <c r="L45" s="93"/>
      <c r="M45" s="93"/>
      <c r="N45" s="93"/>
      <c r="O45" s="93"/>
      <c r="P45" s="91"/>
      <c r="Q45" s="91"/>
    </row>
    <row r="46" spans="1:17" s="88" customFormat="1" x14ac:dyDescent="0.35">
      <c r="A46" s="91" t="str">
        <f>A123</f>
        <v>Total creditors - at end of year</v>
      </c>
      <c r="B46" s="107" t="str">
        <f t="shared" ref="B46:O46" si="23">B123</f>
        <v>US$ 000 Nominal</v>
      </c>
      <c r="C46" s="89"/>
      <c r="D46" s="90">
        <f t="shared" si="23"/>
        <v>142.97893612023162</v>
      </c>
      <c r="E46" s="90">
        <f t="shared" si="23"/>
        <v>143.21467534253512</v>
      </c>
      <c r="F46" s="90">
        <f t="shared" si="23"/>
        <v>157.68726418587443</v>
      </c>
      <c r="G46" s="90">
        <f t="shared" si="23"/>
        <v>184.73719705890005</v>
      </c>
      <c r="H46" s="90">
        <f t="shared" si="23"/>
        <v>221.84937862222822</v>
      </c>
      <c r="I46" s="90">
        <f t="shared" si="23"/>
        <v>267.95786685175813</v>
      </c>
      <c r="J46" s="90">
        <f t="shared" si="23"/>
        <v>296.36630468498674</v>
      </c>
      <c r="K46" s="90">
        <f t="shared" si="23"/>
        <v>305.16275839924333</v>
      </c>
      <c r="L46" s="90">
        <f t="shared" si="23"/>
        <v>315.70211741093169</v>
      </c>
      <c r="M46" s="90">
        <f t="shared" si="23"/>
        <v>306.37905037970125</v>
      </c>
      <c r="N46" s="90">
        <f t="shared" si="23"/>
        <v>0</v>
      </c>
      <c r="O46" s="90">
        <f t="shared" si="23"/>
        <v>0</v>
      </c>
      <c r="P46" s="91"/>
      <c r="Q46" s="91"/>
    </row>
    <row r="47" spans="1:17" s="88" customFormat="1" x14ac:dyDescent="0.35">
      <c r="A47" s="91" t="str">
        <f>A127</f>
        <v>Project loan - current portion</v>
      </c>
      <c r="B47" s="107" t="str">
        <f>B127</f>
        <v>US$ 000  Nominal</v>
      </c>
      <c r="C47" s="89"/>
      <c r="D47" s="90">
        <f t="shared" ref="D47:M47" si="24">D127</f>
        <v>0</v>
      </c>
      <c r="E47" s="90">
        <f t="shared" si="24"/>
        <v>147.77487609228041</v>
      </c>
      <c r="F47" s="90">
        <f t="shared" si="24"/>
        <v>44.301866725818797</v>
      </c>
      <c r="G47" s="90">
        <f t="shared" si="24"/>
        <v>0</v>
      </c>
      <c r="H47" s="90">
        <f t="shared" si="24"/>
        <v>0</v>
      </c>
      <c r="I47" s="90">
        <f t="shared" si="24"/>
        <v>0</v>
      </c>
      <c r="J47" s="90">
        <f t="shared" si="24"/>
        <v>0</v>
      </c>
      <c r="K47" s="90">
        <f t="shared" si="24"/>
        <v>0</v>
      </c>
      <c r="L47" s="90">
        <f t="shared" si="24"/>
        <v>0</v>
      </c>
      <c r="M47" s="90">
        <f t="shared" si="24"/>
        <v>0</v>
      </c>
      <c r="N47" s="90">
        <f t="shared" ref="N47:O47" si="25">N127</f>
        <v>0</v>
      </c>
      <c r="O47" s="90">
        <f t="shared" si="25"/>
        <v>0</v>
      </c>
      <c r="P47" s="91"/>
      <c r="Q47" s="91"/>
    </row>
    <row r="48" spans="1:17" s="88" customFormat="1" x14ac:dyDescent="0.35">
      <c r="A48" s="94" t="s">
        <v>238</v>
      </c>
      <c r="B48" s="107" t="s">
        <v>57</v>
      </c>
      <c r="C48" s="92"/>
      <c r="D48" s="102">
        <f>SUM(D46:D47)</f>
        <v>142.97893612023162</v>
      </c>
      <c r="E48" s="102">
        <f t="shared" ref="E48:O48" si="26">SUM(E46:E47)</f>
        <v>290.98955143481555</v>
      </c>
      <c r="F48" s="102">
        <f t="shared" si="26"/>
        <v>201.98913091169322</v>
      </c>
      <c r="G48" s="102">
        <f t="shared" si="26"/>
        <v>184.73719705890005</v>
      </c>
      <c r="H48" s="102">
        <f t="shared" si="26"/>
        <v>221.84937862222822</v>
      </c>
      <c r="I48" s="102">
        <f t="shared" si="26"/>
        <v>267.95786685175813</v>
      </c>
      <c r="J48" s="102">
        <f t="shared" si="26"/>
        <v>296.36630468498674</v>
      </c>
      <c r="K48" s="102">
        <f t="shared" si="26"/>
        <v>305.16275839924333</v>
      </c>
      <c r="L48" s="102">
        <f t="shared" si="26"/>
        <v>315.70211741093169</v>
      </c>
      <c r="M48" s="102">
        <f t="shared" si="26"/>
        <v>306.37905037970125</v>
      </c>
      <c r="N48" s="102">
        <f t="shared" si="26"/>
        <v>0</v>
      </c>
      <c r="O48" s="102">
        <f t="shared" si="26"/>
        <v>0</v>
      </c>
      <c r="P48" s="91"/>
      <c r="Q48" s="91"/>
    </row>
    <row r="49" spans="1:17" s="88" customFormat="1" x14ac:dyDescent="0.35">
      <c r="A49" s="91"/>
      <c r="B49" s="107"/>
      <c r="C49" s="89"/>
      <c r="D49" s="90"/>
      <c r="E49" s="90"/>
      <c r="F49" s="90"/>
      <c r="G49" s="90"/>
      <c r="H49" s="90"/>
      <c r="I49" s="90"/>
      <c r="J49" s="90"/>
      <c r="K49" s="90"/>
      <c r="L49" s="90"/>
      <c r="M49" s="90"/>
      <c r="N49" s="90"/>
      <c r="O49" s="90"/>
      <c r="P49" s="91"/>
      <c r="Q49" s="91"/>
    </row>
    <row r="50" spans="1:17" s="88" customFormat="1" x14ac:dyDescent="0.35">
      <c r="A50" s="109" t="s">
        <v>242</v>
      </c>
      <c r="B50" s="107"/>
      <c r="C50" s="92"/>
      <c r="D50" s="93"/>
      <c r="E50" s="93"/>
      <c r="F50" s="93"/>
      <c r="G50" s="93"/>
      <c r="H50" s="93"/>
      <c r="I50" s="93"/>
      <c r="J50" s="93"/>
      <c r="K50" s="93"/>
      <c r="L50" s="93"/>
      <c r="M50" s="93"/>
      <c r="N50" s="93"/>
      <c r="O50" s="93"/>
      <c r="P50" s="91"/>
      <c r="Q50" s="91"/>
    </row>
    <row r="51" spans="1:17" s="88" customFormat="1" x14ac:dyDescent="0.35">
      <c r="A51" s="91" t="str">
        <f>A128</f>
        <v>Project loan - non-current portion</v>
      </c>
      <c r="B51" s="107" t="str">
        <f>B128</f>
        <v>US$ 000  Nominal</v>
      </c>
      <c r="C51" s="89"/>
      <c r="D51" s="90">
        <f t="shared" ref="D51:O51" si="27">D128</f>
        <v>153.16470523598767</v>
      </c>
      <c r="E51" s="90">
        <f t="shared" si="27"/>
        <v>44.301866725818797</v>
      </c>
      <c r="F51" s="90">
        <f t="shared" si="27"/>
        <v>0</v>
      </c>
      <c r="G51" s="90">
        <f t="shared" si="27"/>
        <v>0</v>
      </c>
      <c r="H51" s="90">
        <f t="shared" si="27"/>
        <v>0</v>
      </c>
      <c r="I51" s="90">
        <f t="shared" si="27"/>
        <v>0</v>
      </c>
      <c r="J51" s="90">
        <f t="shared" si="27"/>
        <v>0</v>
      </c>
      <c r="K51" s="90">
        <f t="shared" si="27"/>
        <v>0</v>
      </c>
      <c r="L51" s="90">
        <f t="shared" si="27"/>
        <v>0</v>
      </c>
      <c r="M51" s="90">
        <f t="shared" si="27"/>
        <v>0</v>
      </c>
      <c r="N51" s="90">
        <f t="shared" si="27"/>
        <v>0</v>
      </c>
      <c r="O51" s="90">
        <f t="shared" si="27"/>
        <v>0</v>
      </c>
      <c r="P51" s="91"/>
      <c r="Q51" s="91"/>
    </row>
    <row r="52" spans="1:17" s="88" customFormat="1" x14ac:dyDescent="0.35">
      <c r="A52" s="94" t="s">
        <v>242</v>
      </c>
      <c r="B52" s="107" t="s">
        <v>57</v>
      </c>
      <c r="C52" s="92"/>
      <c r="D52" s="102">
        <f t="shared" ref="D52:O52" si="28">SUM(D51:D51)</f>
        <v>153.16470523598767</v>
      </c>
      <c r="E52" s="102">
        <f t="shared" si="28"/>
        <v>44.301866725818797</v>
      </c>
      <c r="F52" s="102">
        <f t="shared" si="28"/>
        <v>0</v>
      </c>
      <c r="G52" s="102">
        <f t="shared" si="28"/>
        <v>0</v>
      </c>
      <c r="H52" s="102">
        <f t="shared" si="28"/>
        <v>0</v>
      </c>
      <c r="I52" s="102">
        <f t="shared" si="28"/>
        <v>0</v>
      </c>
      <c r="J52" s="102">
        <f t="shared" si="28"/>
        <v>0</v>
      </c>
      <c r="K52" s="102">
        <f t="shared" si="28"/>
        <v>0</v>
      </c>
      <c r="L52" s="102">
        <f t="shared" si="28"/>
        <v>0</v>
      </c>
      <c r="M52" s="102">
        <f t="shared" si="28"/>
        <v>0</v>
      </c>
      <c r="N52" s="102">
        <f t="shared" si="28"/>
        <v>0</v>
      </c>
      <c r="O52" s="102">
        <f t="shared" si="28"/>
        <v>0</v>
      </c>
      <c r="P52" s="91"/>
      <c r="Q52" s="91"/>
    </row>
    <row r="53" spans="1:17" s="88" customFormat="1" x14ac:dyDescent="0.35">
      <c r="A53" s="91"/>
      <c r="B53" s="107"/>
      <c r="C53" s="89"/>
      <c r="D53" s="90"/>
      <c r="E53" s="90"/>
      <c r="F53" s="90"/>
      <c r="G53" s="90"/>
      <c r="H53" s="90"/>
      <c r="I53" s="90"/>
      <c r="J53" s="90"/>
      <c r="K53" s="90"/>
      <c r="L53" s="90"/>
      <c r="M53" s="90"/>
      <c r="N53" s="90"/>
      <c r="O53" s="90"/>
      <c r="P53" s="91"/>
      <c r="Q53" s="91"/>
    </row>
    <row r="54" spans="1:17" s="88" customFormat="1" x14ac:dyDescent="0.35">
      <c r="A54" s="94" t="s">
        <v>243</v>
      </c>
      <c r="B54" s="107" t="s">
        <v>57</v>
      </c>
      <c r="C54" s="92"/>
      <c r="D54" s="100">
        <f>D48+D52</f>
        <v>296.14364135621929</v>
      </c>
      <c r="E54" s="100">
        <f t="shared" ref="E54:O54" si="29">E48+E52</f>
        <v>335.29141816063435</v>
      </c>
      <c r="F54" s="100">
        <f t="shared" si="29"/>
        <v>201.98913091169322</v>
      </c>
      <c r="G54" s="100">
        <f t="shared" si="29"/>
        <v>184.73719705890005</v>
      </c>
      <c r="H54" s="100">
        <f t="shared" si="29"/>
        <v>221.84937862222822</v>
      </c>
      <c r="I54" s="100">
        <f t="shared" si="29"/>
        <v>267.95786685175813</v>
      </c>
      <c r="J54" s="100">
        <f t="shared" si="29"/>
        <v>296.36630468498674</v>
      </c>
      <c r="K54" s="100">
        <f t="shared" si="29"/>
        <v>305.16275839924333</v>
      </c>
      <c r="L54" s="100">
        <f t="shared" si="29"/>
        <v>315.70211741093169</v>
      </c>
      <c r="M54" s="100">
        <f t="shared" si="29"/>
        <v>306.37905037970125</v>
      </c>
      <c r="N54" s="100">
        <f t="shared" si="29"/>
        <v>0</v>
      </c>
      <c r="O54" s="100">
        <f t="shared" si="29"/>
        <v>0</v>
      </c>
      <c r="P54" s="91"/>
      <c r="Q54" s="91"/>
    </row>
    <row r="55" spans="1:17" s="88" customFormat="1" ht="37.5" customHeight="1" x14ac:dyDescent="0.35">
      <c r="A55" s="109" t="s">
        <v>244</v>
      </c>
      <c r="B55" s="107"/>
      <c r="C55" s="92"/>
      <c r="D55" s="93"/>
      <c r="E55" s="93"/>
      <c r="F55" s="93"/>
      <c r="G55" s="93"/>
      <c r="H55" s="93"/>
      <c r="I55" s="93"/>
      <c r="J55" s="93"/>
      <c r="K55" s="93"/>
      <c r="L55" s="93"/>
      <c r="M55" s="93"/>
      <c r="N55" s="93"/>
      <c r="O55" s="93"/>
      <c r="P55" s="91"/>
      <c r="Q55" s="91"/>
    </row>
    <row r="56" spans="1:17" s="88" customFormat="1" x14ac:dyDescent="0.35">
      <c r="A56" s="94" t="s">
        <v>227</v>
      </c>
      <c r="B56" s="104"/>
      <c r="C56" s="92"/>
      <c r="D56" s="100">
        <f t="shared" ref="D56:O56" si="30">D43-D54</f>
        <v>33.00217102687202</v>
      </c>
      <c r="E56" s="100">
        <f t="shared" si="30"/>
        <v>228.83367204573625</v>
      </c>
      <c r="F56" s="100">
        <f t="shared" si="30"/>
        <v>501.34305391691669</v>
      </c>
      <c r="G56" s="100">
        <f t="shared" si="30"/>
        <v>516.23859713416277</v>
      </c>
      <c r="H56" s="100">
        <f t="shared" si="30"/>
        <v>675.61772511957633</v>
      </c>
      <c r="I56" s="100">
        <f t="shared" si="30"/>
        <v>1130.708020187265</v>
      </c>
      <c r="J56" s="100">
        <f t="shared" si="30"/>
        <v>1715.2128639694363</v>
      </c>
      <c r="K56" s="100">
        <f t="shared" si="30"/>
        <v>2362.0727734415605</v>
      </c>
      <c r="L56" s="100">
        <f t="shared" si="30"/>
        <v>3046.6461458851077</v>
      </c>
      <c r="M56" s="100">
        <f t="shared" si="30"/>
        <v>3971.3381562195077</v>
      </c>
      <c r="N56" s="100">
        <f t="shared" si="30"/>
        <v>4463.6385124818671</v>
      </c>
      <c r="O56" s="100">
        <f t="shared" si="30"/>
        <v>4544.4538164760415</v>
      </c>
      <c r="P56" s="90"/>
      <c r="Q56" s="90"/>
    </row>
    <row r="57" spans="1:17" s="88" customFormat="1" x14ac:dyDescent="0.35">
      <c r="B57" s="107"/>
      <c r="C57" s="92"/>
      <c r="D57" s="93"/>
      <c r="E57" s="93"/>
      <c r="F57" s="93"/>
      <c r="G57" s="93"/>
      <c r="H57" s="93"/>
      <c r="I57" s="93"/>
      <c r="J57" s="93"/>
      <c r="K57" s="93"/>
      <c r="L57" s="93"/>
      <c r="M57" s="93"/>
      <c r="N57" s="93"/>
      <c r="O57" s="93"/>
      <c r="P57" s="91"/>
      <c r="Q57" s="91"/>
    </row>
    <row r="58" spans="1:17" ht="75.75" customHeight="1" x14ac:dyDescent="0.35">
      <c r="C58" s="52"/>
      <c r="D58" s="53"/>
      <c r="E58" s="53"/>
      <c r="F58" s="53"/>
      <c r="G58" s="53"/>
      <c r="H58" s="53"/>
      <c r="I58" s="53"/>
      <c r="J58" s="53"/>
      <c r="K58" s="53"/>
      <c r="L58" s="53"/>
      <c r="M58" s="53"/>
      <c r="N58" s="53"/>
      <c r="O58" s="53"/>
      <c r="P58" s="51"/>
      <c r="Q58" s="51"/>
    </row>
    <row r="59" spans="1:17" ht="31" x14ac:dyDescent="0.7">
      <c r="A59" s="49" t="s">
        <v>76</v>
      </c>
      <c r="C59" s="45"/>
      <c r="D59" s="44"/>
      <c r="E59" s="44"/>
      <c r="F59" s="44"/>
      <c r="G59" s="44"/>
      <c r="H59" s="44"/>
      <c r="I59" s="44"/>
      <c r="J59" s="44"/>
      <c r="K59" s="44"/>
      <c r="L59" s="44"/>
      <c r="M59" s="44"/>
      <c r="N59" s="44"/>
      <c r="O59" s="44"/>
      <c r="P59" s="51"/>
      <c r="Q59" s="51"/>
    </row>
    <row r="60" spans="1:17" x14ac:dyDescent="0.35">
      <c r="A60" s="81" t="s">
        <v>272</v>
      </c>
      <c r="B60" s="108"/>
      <c r="C60" s="45"/>
      <c r="D60" s="44"/>
      <c r="E60" s="44"/>
      <c r="F60" s="44"/>
      <c r="G60" s="44"/>
      <c r="H60" s="44"/>
      <c r="I60" s="44"/>
      <c r="J60" s="44"/>
      <c r="K60" s="44"/>
      <c r="L60" s="44"/>
      <c r="M60" s="44"/>
      <c r="N60" s="44"/>
      <c r="O60" s="44"/>
      <c r="P60" s="51"/>
      <c r="Q60" s="51"/>
    </row>
    <row r="61" spans="1:17" s="12" customFormat="1" ht="13" x14ac:dyDescent="0.3">
      <c r="A61" s="235" t="str">
        <f>'Project funding (Nominal)'!A$26</f>
        <v>Inflator - US$</v>
      </c>
      <c r="B61" s="235"/>
      <c r="C61" s="253"/>
      <c r="D61" s="359">
        <f>'Project funding (Nominal)'!D$26</f>
        <v>1.0099504938362078</v>
      </c>
      <c r="E61" s="359">
        <f>'Project funding (Nominal)'!E$26</f>
        <v>1.030149503712932</v>
      </c>
      <c r="F61" s="359">
        <f>'Project funding (Nominal)'!F$26</f>
        <v>1.0507524937871906</v>
      </c>
      <c r="G61" s="359">
        <f>'Project funding (Nominal)'!G$26</f>
        <v>1.0717675436629344</v>
      </c>
      <c r="H61" s="359">
        <f>'Project funding (Nominal)'!H$26</f>
        <v>1.0932028945361931</v>
      </c>
      <c r="I61" s="359">
        <f>'Project funding (Nominal)'!I$26</f>
        <v>1.115066952426917</v>
      </c>
      <c r="J61" s="359">
        <f>'Project funding (Nominal)'!J$26</f>
        <v>1.1373682914754553</v>
      </c>
      <c r="K61" s="359">
        <f>'Project funding (Nominal)'!K$26</f>
        <v>1.1601156573049645</v>
      </c>
      <c r="L61" s="359">
        <f>'Project funding (Nominal)'!L$26</f>
        <v>1.1833179704510637</v>
      </c>
      <c r="M61" s="359">
        <f>'Project funding (Nominal)'!M$26</f>
        <v>1.2069843298600851</v>
      </c>
      <c r="N61" s="359">
        <f>'Project funding (Nominal)'!N$26</f>
        <v>1.2311240164572868</v>
      </c>
      <c r="O61" s="359">
        <f>'Project funding (Nominal)'!O$26</f>
        <v>1.2557464967864325</v>
      </c>
      <c r="P61" s="69"/>
      <c r="Q61" s="69"/>
    </row>
    <row r="62" spans="1:17" s="12" customFormat="1" ht="13" x14ac:dyDescent="0.3">
      <c r="A62" s="235" t="str">
        <f>'Capital &amp; Operating Costs'!A$38</f>
        <v>Inflator - In country</v>
      </c>
      <c r="B62" s="235"/>
      <c r="C62" s="253"/>
      <c r="D62" s="359">
        <f>'Capital &amp; Operating Costs'!D$38</f>
        <v>1.0392304845413265</v>
      </c>
      <c r="E62" s="359">
        <f>'Capital &amp; Operating Costs'!E$38</f>
        <v>1.1223689233046328</v>
      </c>
      <c r="F62" s="359">
        <f>'Capital &amp; Operating Costs'!F$38</f>
        <v>1.2121584371690035</v>
      </c>
      <c r="G62" s="359">
        <f>'Capital &amp; Operating Costs'!G$38</f>
        <v>1.309131112142524</v>
      </c>
      <c r="H62" s="359">
        <f>'Capital &amp; Operating Costs'!H$38</f>
        <v>1.413861601113926</v>
      </c>
      <c r="I62" s="359">
        <f>'Capital &amp; Operating Costs'!I$38</f>
        <v>1.5269705292030402</v>
      </c>
      <c r="J62" s="359">
        <f>'Capital &amp; Operating Costs'!J$38</f>
        <v>1.6491281715392836</v>
      </c>
      <c r="K62" s="359">
        <f>'Capital &amp; Operating Costs'!K$38</f>
        <v>1.7810584252624264</v>
      </c>
      <c r="L62" s="359">
        <f>'Capital &amp; Operating Costs'!L$38</f>
        <v>1.9235430992834206</v>
      </c>
      <c r="M62" s="359">
        <f>'Capital &amp; Operating Costs'!M$38</f>
        <v>2.0774265472260942</v>
      </c>
      <c r="N62" s="359">
        <f>'Capital &amp; Operating Costs'!N$38</f>
        <v>2.2436206710041819</v>
      </c>
      <c r="O62" s="359">
        <f>'Capital &amp; Operating Costs'!O$38</f>
        <v>2.4231103246845165</v>
      </c>
      <c r="P62" s="69"/>
      <c r="Q62" s="69"/>
    </row>
    <row r="63" spans="1:17" x14ac:dyDescent="0.35">
      <c r="C63" s="45"/>
      <c r="D63" s="44"/>
      <c r="E63" s="44"/>
      <c r="F63" s="44"/>
      <c r="G63" s="44"/>
      <c r="H63" s="44"/>
      <c r="I63" s="44"/>
      <c r="J63" s="44"/>
      <c r="K63" s="44"/>
      <c r="L63" s="44"/>
      <c r="M63" s="44"/>
      <c r="N63" s="44"/>
      <c r="O63" s="44"/>
      <c r="P63" s="51"/>
      <c r="Q63" s="51"/>
    </row>
    <row r="64" spans="1:17" x14ac:dyDescent="0.35">
      <c r="A64" s="81" t="s">
        <v>277</v>
      </c>
      <c r="B64" s="108"/>
      <c r="C64" s="45"/>
      <c r="D64" s="44"/>
      <c r="E64" s="44"/>
      <c r="F64" s="44"/>
      <c r="G64" s="44"/>
      <c r="H64" s="44"/>
      <c r="I64" s="44"/>
      <c r="J64" s="44"/>
      <c r="K64" s="44"/>
      <c r="L64" s="44"/>
      <c r="M64" s="44"/>
      <c r="N64" s="44"/>
      <c r="O64" s="44"/>
      <c r="P64" s="51"/>
      <c r="Q64" s="51"/>
    </row>
    <row r="65" spans="1:17" s="12" customFormat="1" ht="13" x14ac:dyDescent="0.3">
      <c r="A65" s="235" t="str">
        <f>Taxes!A32</f>
        <v>Revenue from ABC units</v>
      </c>
      <c r="B65" s="235" t="str">
        <f>Taxes!B32</f>
        <v>US$ 000  Real</v>
      </c>
      <c r="C65" s="360">
        <f>Taxes!C32</f>
        <v>28767.418847075358</v>
      </c>
      <c r="D65" s="361">
        <f>Taxes!D32</f>
        <v>1770</v>
      </c>
      <c r="E65" s="361">
        <f>Taxes!E32</f>
        <v>1835.54</v>
      </c>
      <c r="F65" s="361">
        <f>Taxes!F32</f>
        <v>1978.7121200000001</v>
      </c>
      <c r="G65" s="361">
        <f>Taxes!G32</f>
        <v>2293.9390258400003</v>
      </c>
      <c r="H65" s="361">
        <f>Taxes!H32</f>
        <v>2759.2283782817608</v>
      </c>
      <c r="I65" s="361">
        <f>Taxes!I32</f>
        <v>3330.2531115073416</v>
      </c>
      <c r="J65" s="361">
        <f>Taxes!J32</f>
        <v>3648.1741866301709</v>
      </c>
      <c r="K65" s="361">
        <f>Taxes!K32</f>
        <v>3682.4670239844936</v>
      </c>
      <c r="L65" s="361">
        <f>Taxes!L32</f>
        <v>3717.0822140099485</v>
      </c>
      <c r="M65" s="361">
        <f>Taxes!M32</f>
        <v>3752.0227868216416</v>
      </c>
      <c r="N65" s="361">
        <f>Taxes!N32</f>
        <v>0</v>
      </c>
      <c r="O65" s="361">
        <f>Taxes!O32</f>
        <v>0</v>
      </c>
      <c r="P65" s="69"/>
      <c r="Q65" s="69"/>
    </row>
    <row r="66" spans="1:17" s="63" customFormat="1" ht="19.5" customHeight="1" x14ac:dyDescent="0.3">
      <c r="A66" s="65" t="str">
        <f>A65</f>
        <v>Revenue from ABC units</v>
      </c>
      <c r="B66" s="63" t="s">
        <v>58</v>
      </c>
      <c r="C66" s="362">
        <f>SUM(D66:O66)</f>
        <v>32294.578905571849</v>
      </c>
      <c r="D66" s="363">
        <f>D65*D$61</f>
        <v>1787.6123740900878</v>
      </c>
      <c r="E66" s="363">
        <f t="shared" ref="E66:O66" si="31">E65*E$61</f>
        <v>1890.8806200452352</v>
      </c>
      <c r="F66" s="363">
        <f t="shared" si="31"/>
        <v>2079.1366945769387</v>
      </c>
      <c r="G66" s="363">
        <f t="shared" si="31"/>
        <v>2458.5693950370819</v>
      </c>
      <c r="H66" s="363">
        <f t="shared" si="31"/>
        <v>3016.3964498240271</v>
      </c>
      <c r="I66" s="363">
        <f t="shared" si="31"/>
        <v>3713.455187858749</v>
      </c>
      <c r="J66" s="363">
        <f t="shared" si="31"/>
        <v>4149.3176416524166</v>
      </c>
      <c r="K66" s="363">
        <f t="shared" si="31"/>
        <v>4272.0876520336269</v>
      </c>
      <c r="L66" s="363">
        <f t="shared" si="31"/>
        <v>4398.4901814819987</v>
      </c>
      <c r="M66" s="363">
        <f t="shared" si="31"/>
        <v>4528.6327089716879</v>
      </c>
      <c r="N66" s="363">
        <f t="shared" si="31"/>
        <v>0</v>
      </c>
      <c r="O66" s="363">
        <f t="shared" si="31"/>
        <v>0</v>
      </c>
      <c r="P66" s="66"/>
      <c r="Q66" s="66"/>
    </row>
    <row r="67" spans="1:17" s="12" customFormat="1" ht="13" x14ac:dyDescent="0.3">
      <c r="A67" s="235" t="str">
        <f>'Sales &amp; Revenue'!A61</f>
        <v xml:space="preserve">Cash Grants from Results Based Financing </v>
      </c>
      <c r="B67" s="344" t="str">
        <f>'Sales &amp; Revenue'!B61</f>
        <v>US$ 000  Real</v>
      </c>
      <c r="C67" s="364">
        <f>SUM(D67:O67)</f>
        <v>1471.1305073333051</v>
      </c>
      <c r="D67" s="365">
        <f>'Sales &amp; Revenue'!D61</f>
        <v>80</v>
      </c>
      <c r="E67" s="365">
        <f>'Sales &amp; Revenue'!E61</f>
        <v>84.5</v>
      </c>
      <c r="F67" s="365">
        <f>'Sales &amp; Revenue'!F61</f>
        <v>92.95</v>
      </c>
      <c r="G67" s="365">
        <f>'Sales &amp; Revenue'!G61</f>
        <v>110.33</v>
      </c>
      <c r="H67" s="365">
        <f>'Sales &amp; Revenue'!H61</f>
        <v>136.60900000000004</v>
      </c>
      <c r="I67" s="365">
        <f>'Sales &amp; Revenue'!I61</f>
        <v>169.67390000000003</v>
      </c>
      <c r="J67" s="365">
        <f>'Sales &amp; Revenue'!J61</f>
        <v>190.52071500000002</v>
      </c>
      <c r="K67" s="365">
        <f>'Sales &amp; Revenue'!K61</f>
        <v>196.23633645000004</v>
      </c>
      <c r="L67" s="365">
        <f>'Sales &amp; Revenue'!L61</f>
        <v>202.12342654350005</v>
      </c>
      <c r="M67" s="365">
        <f>'Sales &amp; Revenue'!M61</f>
        <v>208.18712933980501</v>
      </c>
      <c r="N67" s="365">
        <f>'Sales &amp; Revenue'!N61</f>
        <v>0</v>
      </c>
      <c r="O67" s="365">
        <f>'Sales &amp; Revenue'!O61</f>
        <v>0</v>
      </c>
      <c r="P67" s="99"/>
      <c r="Q67" s="99"/>
    </row>
    <row r="68" spans="1:17" s="63" customFormat="1" ht="19.5" customHeight="1" x14ac:dyDescent="0.3">
      <c r="A68" s="63" t="str">
        <f>A67</f>
        <v xml:space="preserve">Cash Grants from Results Based Financing </v>
      </c>
      <c r="B68" s="63" t="s">
        <v>58</v>
      </c>
      <c r="C68" s="362">
        <f>SUM(D68:O68)</f>
        <v>1657.1022949873852</v>
      </c>
      <c r="D68" s="363">
        <f>D67*D$61</f>
        <v>80.796039506896619</v>
      </c>
      <c r="E68" s="363">
        <f t="shared" ref="E68" si="32">E67*E$61</f>
        <v>87.047633063742751</v>
      </c>
      <c r="F68" s="363">
        <f t="shared" ref="F68" si="33">F67*F$61</f>
        <v>97.667444297519367</v>
      </c>
      <c r="G68" s="363">
        <f t="shared" ref="G68" si="34">G67*G$61</f>
        <v>118.24811309233155</v>
      </c>
      <c r="H68" s="363">
        <f t="shared" ref="H68" si="35">H67*H$61</f>
        <v>149.34135421969484</v>
      </c>
      <c r="I68" s="363">
        <f t="shared" ref="I68" si="36">I67*I$61</f>
        <v>189.1977585793895</v>
      </c>
      <c r="J68" s="363">
        <f t="shared" ref="J68" si="37">J67*J$61</f>
        <v>216.69222011023217</v>
      </c>
      <c r="K68" s="363">
        <f t="shared" ref="K68" si="38">K67*K$61</f>
        <v>227.65684644780995</v>
      </c>
      <c r="L68" s="363">
        <f t="shared" ref="L68" si="39">L67*L$61</f>
        <v>239.17628287806912</v>
      </c>
      <c r="M68" s="363">
        <f t="shared" ref="M68" si="40">M67*M$61</f>
        <v>251.2786027916994</v>
      </c>
      <c r="N68" s="363">
        <f t="shared" ref="N68" si="41">N67*N$61</f>
        <v>0</v>
      </c>
      <c r="O68" s="363">
        <f t="shared" ref="O68" si="42">O67*O$61</f>
        <v>0</v>
      </c>
      <c r="P68" s="66"/>
      <c r="Q68" s="66"/>
    </row>
    <row r="69" spans="1:17" s="12" customFormat="1" ht="13" x14ac:dyDescent="0.3">
      <c r="A69" s="235" t="str">
        <f>'Sales &amp; Revenue'!A72</f>
        <v>Commissions from international sales of ABC's</v>
      </c>
      <c r="B69" s="366" t="str">
        <f>'Sales &amp; Revenue'!B72</f>
        <v>US$ 000  Real</v>
      </c>
      <c r="C69" s="364">
        <f>SUM(D69:O69)</f>
        <v>1034.1778565999748</v>
      </c>
      <c r="D69" s="365">
        <f>'Sales &amp; Revenue'!D72</f>
        <v>0</v>
      </c>
      <c r="E69" s="365">
        <f>'Sales &amp; Revenue'!E72</f>
        <v>6.3375000000000004</v>
      </c>
      <c r="F69" s="365">
        <f>'Sales &amp; Revenue'!F72</f>
        <v>13.942500000000001</v>
      </c>
      <c r="G69" s="365">
        <f>'Sales &amp; Revenue'!G72</f>
        <v>41.373750000000001</v>
      </c>
      <c r="H69" s="365">
        <f>'Sales &amp; Revenue'!H72</f>
        <v>102.45675000000003</v>
      </c>
      <c r="I69" s="365">
        <f>'Sales &amp; Revenue'!I72</f>
        <v>152.70651000000001</v>
      </c>
      <c r="J69" s="365">
        <f>'Sales &amp; Revenue'!J72</f>
        <v>171.46864350000004</v>
      </c>
      <c r="K69" s="365">
        <f>'Sales &amp; Revenue'!K72</f>
        <v>176.612702805</v>
      </c>
      <c r="L69" s="365">
        <f>'Sales &amp; Revenue'!L72</f>
        <v>181.91108388915004</v>
      </c>
      <c r="M69" s="365">
        <f>'Sales &amp; Revenue'!M72</f>
        <v>187.36841640582452</v>
      </c>
      <c r="N69" s="365">
        <f>'Sales &amp; Revenue'!N72</f>
        <v>0</v>
      </c>
      <c r="O69" s="365">
        <f>'Sales &amp; Revenue'!O72</f>
        <v>0</v>
      </c>
      <c r="P69" s="99"/>
      <c r="Q69" s="99"/>
    </row>
    <row r="70" spans="1:17" s="63" customFormat="1" ht="19.5" customHeight="1" x14ac:dyDescent="0.3">
      <c r="A70" s="63" t="str">
        <f>A69</f>
        <v>Commissions from international sales of ABC's</v>
      </c>
      <c r="B70" s="63" t="s">
        <v>58</v>
      </c>
      <c r="C70" s="362">
        <f>SUM(D70:O70)</f>
        <v>1189.1292869252841</v>
      </c>
      <c r="D70" s="363">
        <f>D69*D$61</f>
        <v>0</v>
      </c>
      <c r="E70" s="363">
        <f t="shared" ref="E70" si="43">E69*E$61</f>
        <v>6.5285724797807072</v>
      </c>
      <c r="F70" s="363">
        <f t="shared" ref="F70" si="44">F69*F$61</f>
        <v>14.650116644627905</v>
      </c>
      <c r="G70" s="363">
        <f t="shared" ref="G70" si="45">G69*G$61</f>
        <v>44.343042409624331</v>
      </c>
      <c r="H70" s="363">
        <f t="shared" ref="H70" si="46">H69*H$61</f>
        <v>112.00601566477114</v>
      </c>
      <c r="I70" s="363">
        <f t="shared" ref="I70" si="47">I69*I$61</f>
        <v>170.27798272145054</v>
      </c>
      <c r="J70" s="363">
        <f t="shared" ref="J70" si="48">J69*J$61</f>
        <v>195.02299809920896</v>
      </c>
      <c r="K70" s="363">
        <f t="shared" ref="K70" si="49">K69*K$61</f>
        <v>204.89116180302892</v>
      </c>
      <c r="L70" s="363">
        <f t="shared" ref="L70" si="50">L69*L$61</f>
        <v>215.25865459026221</v>
      </c>
      <c r="M70" s="363">
        <f t="shared" ref="M70" si="51">M69*M$61</f>
        <v>226.15074251252949</v>
      </c>
      <c r="N70" s="363">
        <f t="shared" ref="N70" si="52">N69*N$61</f>
        <v>0</v>
      </c>
      <c r="O70" s="363">
        <f t="shared" ref="O70" si="53">O69*O$61</f>
        <v>0</v>
      </c>
      <c r="P70" s="66"/>
      <c r="Q70" s="66"/>
    </row>
    <row r="71" spans="1:17" s="88" customFormat="1" ht="19.5" customHeight="1" x14ac:dyDescent="0.35">
      <c r="B71" s="107"/>
      <c r="C71" s="89"/>
      <c r="D71" s="90"/>
      <c r="E71" s="90"/>
      <c r="F71" s="90"/>
      <c r="G71" s="90"/>
      <c r="H71" s="90"/>
      <c r="I71" s="90"/>
      <c r="J71" s="90"/>
      <c r="K71" s="90"/>
      <c r="L71" s="90"/>
      <c r="M71" s="90"/>
      <c r="N71" s="90"/>
      <c r="O71" s="90"/>
      <c r="P71" s="91"/>
      <c r="Q71" s="91"/>
    </row>
    <row r="72" spans="1:17" ht="15.5" x14ac:dyDescent="0.35">
      <c r="A72" s="22" t="s">
        <v>278</v>
      </c>
      <c r="C72" s="45"/>
      <c r="D72" s="44"/>
      <c r="E72" s="44"/>
      <c r="F72" s="44"/>
      <c r="G72" s="44"/>
      <c r="H72" s="44"/>
      <c r="I72" s="44"/>
      <c r="J72" s="44"/>
      <c r="K72" s="44"/>
      <c r="L72" s="44"/>
      <c r="M72" s="44"/>
      <c r="N72" s="44"/>
      <c r="O72" s="44"/>
      <c r="P72" s="51"/>
      <c r="Q72" s="51"/>
    </row>
    <row r="73" spans="1:17" s="12" customFormat="1" ht="13" x14ac:dyDescent="0.3">
      <c r="A73" s="235" t="str">
        <f>'Capital &amp; Operating Costs'!A153</f>
        <v>3a i.  Cost of purchasing ABC units ex-factory</v>
      </c>
      <c r="B73" s="235" t="str">
        <f>'Capital &amp; Operating Costs'!B153</f>
        <v>US$ 000 Real</v>
      </c>
      <c r="C73" s="360">
        <f>'Capital &amp; Operating Costs'!C153</f>
        <v>15590.092959201191</v>
      </c>
      <c r="D73" s="367">
        <f>'Capital &amp; Operating Costs'!D153</f>
        <v>1049.7260273972602</v>
      </c>
      <c r="E73" s="367">
        <f>'Capital &amp; Operating Costs'!E153</f>
        <v>1012.1117808219178</v>
      </c>
      <c r="F73" s="367">
        <f>'Capital &amp; Operating Costs'!F153</f>
        <v>1094.1350421917809</v>
      </c>
      <c r="G73" s="367">
        <f>'Capital &amp; Operating Costs'!G153</f>
        <v>1271.2387671967124</v>
      </c>
      <c r="H73" s="367">
        <f>'Capital &amp; Operating Costs'!H153</f>
        <v>1521.2818835894557</v>
      </c>
      <c r="I73" s="367">
        <f>'Capital &amp; Operating Costs'!I153</f>
        <v>1823.4391790972199</v>
      </c>
      <c r="J73" s="367">
        <f>'Capital &amp; Operating Costs'!J153</f>
        <v>1976.8874870560949</v>
      </c>
      <c r="K73" s="367">
        <f>'Capital &amp; Operating Costs'!K153</f>
        <v>1983.6266147866311</v>
      </c>
      <c r="L73" s="367">
        <f>'Capital &amp; Operating Costs'!L153</f>
        <v>2002.2727049656251</v>
      </c>
      <c r="M73" s="367">
        <f>'Capital &amp; Operating Costs'!M153</f>
        <v>1855.3734720984926</v>
      </c>
      <c r="N73" s="367">
        <f>'Capital &amp; Operating Costs'!N153</f>
        <v>0</v>
      </c>
      <c r="O73" s="367">
        <f>'Capital &amp; Operating Costs'!O153</f>
        <v>0</v>
      </c>
      <c r="P73" s="69"/>
      <c r="Q73" s="69"/>
    </row>
    <row r="74" spans="1:17" s="63" customFormat="1" ht="19.5" customHeight="1" x14ac:dyDescent="0.3">
      <c r="A74" s="63" t="s">
        <v>279</v>
      </c>
      <c r="B74" s="63" t="s">
        <v>58</v>
      </c>
      <c r="C74" s="362">
        <f>SUM(D74:O74)</f>
        <v>17469.679288489497</v>
      </c>
      <c r="D74" s="363">
        <f>D73*D$61</f>
        <v>1060.1713197625836</v>
      </c>
      <c r="E74" s="363">
        <f t="shared" ref="E74" si="54">E73*E$61</f>
        <v>1042.6264487157105</v>
      </c>
      <c r="F74" s="363">
        <f t="shared" ref="F74" si="55">F73*F$61</f>
        <v>1149.6651241229667</v>
      </c>
      <c r="G74" s="363">
        <f t="shared" ref="G74" si="56">G73*G$61</f>
        <v>1362.4724509275172</v>
      </c>
      <c r="H74" s="363">
        <f t="shared" ref="H74" si="57">H73*H$61</f>
        <v>1663.069758545465</v>
      </c>
      <c r="I74" s="363">
        <f t="shared" ref="I74" si="58">I73*I$61</f>
        <v>2033.2567683717764</v>
      </c>
      <c r="J74" s="363">
        <f t="shared" ref="J74" si="59">J73*J$61</f>
        <v>2248.4491435921968</v>
      </c>
      <c r="K74" s="363">
        <f t="shared" ref="K74" si="60">K73*K$61</f>
        <v>2301.2362940608141</v>
      </c>
      <c r="L74" s="363">
        <f t="shared" ref="L74" si="61">L73*L$61</f>
        <v>2369.325273529485</v>
      </c>
      <c r="M74" s="363">
        <f t="shared" ref="M74" si="62">M73*M$61</f>
        <v>2239.4067068609784</v>
      </c>
      <c r="N74" s="363">
        <f t="shared" ref="N74" si="63">N73*N$61</f>
        <v>0</v>
      </c>
      <c r="O74" s="363">
        <f t="shared" ref="O74" si="64">O73*O$61</f>
        <v>0</v>
      </c>
      <c r="P74" s="66"/>
      <c r="Q74" s="66"/>
    </row>
    <row r="75" spans="1:17" x14ac:dyDescent="0.35">
      <c r="C75" s="45"/>
      <c r="D75" s="44"/>
      <c r="E75" s="44"/>
      <c r="F75" s="44"/>
      <c r="G75" s="44"/>
      <c r="H75" s="44"/>
      <c r="I75" s="44"/>
      <c r="J75" s="44"/>
      <c r="K75" s="44"/>
      <c r="L75" s="44"/>
      <c r="M75" s="44"/>
      <c r="N75" s="44"/>
      <c r="O75" s="44"/>
      <c r="P75" s="51"/>
      <c r="Q75" s="51"/>
    </row>
    <row r="76" spans="1:17" ht="15.5" x14ac:dyDescent="0.35">
      <c r="A76" s="22" t="s">
        <v>280</v>
      </c>
      <c r="C76" s="45"/>
      <c r="D76" s="44"/>
      <c r="E76" s="44"/>
      <c r="F76" s="44"/>
      <c r="G76" s="44"/>
      <c r="H76" s="44"/>
      <c r="I76" s="44"/>
      <c r="J76" s="44"/>
      <c r="K76" s="44"/>
      <c r="L76" s="44"/>
      <c r="M76" s="44"/>
      <c r="N76" s="44"/>
      <c r="O76" s="44"/>
      <c r="P76" s="51"/>
      <c r="Q76" s="51"/>
    </row>
    <row r="77" spans="1:17" s="12" customFormat="1" ht="13" x14ac:dyDescent="0.3">
      <c r="A77" s="235" t="str">
        <f>'Capital &amp; Operating Costs'!A78</f>
        <v>Working stocks of ABC's - closing</v>
      </c>
      <c r="B77" s="235" t="str">
        <f>'Capital &amp; Operating Costs'!B78</f>
        <v>US$ 000 Real</v>
      </c>
      <c r="C77" s="360"/>
      <c r="D77" s="368">
        <f>'Capital &amp; Operating Costs'!D78</f>
        <v>79.726027397260268</v>
      </c>
      <c r="E77" s="368">
        <f>'Capital &amp; Operating Costs'!E78</f>
        <v>82.80328767123288</v>
      </c>
      <c r="F77" s="368">
        <f>'Capital &amp; Operating Costs'!F78</f>
        <v>89.261944109589038</v>
      </c>
      <c r="G77" s="368">
        <f>'Capital &amp; Operating Costs'!G78</f>
        <v>103.19358018410958</v>
      </c>
      <c r="H77" s="368">
        <f>'Capital &amp; Operating Costs'!H78</f>
        <v>123.22113358252275</v>
      </c>
      <c r="I77" s="368">
        <f>'Capital &amp; Operating Costs'!I78</f>
        <v>147.66044734238676</v>
      </c>
      <c r="J77" s="368">
        <f>'Capital &amp; Operating Costs'!J78</f>
        <v>161.13377661657978</v>
      </c>
      <c r="K77" s="368">
        <f>'Capital &amp; Operating Costs'!K78</f>
        <v>162.64843411677566</v>
      </c>
      <c r="L77" s="368">
        <f>'Capital &amp; Operating Costs'!L78</f>
        <v>164.17732939747333</v>
      </c>
      <c r="M77" s="368">
        <f>'Capital &amp; Operating Costs'!M78</f>
        <v>0</v>
      </c>
      <c r="N77" s="368">
        <f>'Capital &amp; Operating Costs'!N78</f>
        <v>0</v>
      </c>
      <c r="O77" s="368">
        <f>'Capital &amp; Operating Costs'!O78</f>
        <v>0</v>
      </c>
      <c r="P77" s="69"/>
      <c r="Q77" s="69"/>
    </row>
    <row r="78" spans="1:17" s="63" customFormat="1" ht="19.5" customHeight="1" x14ac:dyDescent="0.3">
      <c r="A78" s="65" t="str">
        <f>A77</f>
        <v>Working stocks of ABC's - closing</v>
      </c>
      <c r="B78" s="63" t="s">
        <v>58</v>
      </c>
      <c r="C78" s="362"/>
      <c r="D78" s="363">
        <f t="shared" ref="D78:O78" si="65">D77*D$61</f>
        <v>80.519340741462045</v>
      </c>
      <c r="E78" s="363">
        <f t="shared" si="65"/>
        <v>85.299765700319696</v>
      </c>
      <c r="F78" s="363">
        <f t="shared" si="65"/>
        <v>93.79221037344351</v>
      </c>
      <c r="G78" s="363">
        <f t="shared" si="65"/>
        <v>110.59952995570718</v>
      </c>
      <c r="H78" s="363">
        <f t="shared" si="65"/>
        <v>134.70569990044478</v>
      </c>
      <c r="I78" s="363">
        <f t="shared" si="65"/>
        <v>164.65128501207047</v>
      </c>
      <c r="J78" s="363">
        <f t="shared" si="65"/>
        <v>183.268448209387</v>
      </c>
      <c r="K78" s="363">
        <f t="shared" si="65"/>
        <v>188.6909950550064</v>
      </c>
      <c r="L78" s="363">
        <f t="shared" si="65"/>
        <v>194.27398421669389</v>
      </c>
      <c r="M78" s="363">
        <f t="shared" si="65"/>
        <v>0</v>
      </c>
      <c r="N78" s="363">
        <f t="shared" si="65"/>
        <v>0</v>
      </c>
      <c r="O78" s="363">
        <f t="shared" si="65"/>
        <v>0</v>
      </c>
      <c r="P78" s="66"/>
      <c r="Q78" s="66"/>
    </row>
    <row r="79" spans="1:17" x14ac:dyDescent="0.35">
      <c r="C79" s="45"/>
      <c r="D79" s="44"/>
      <c r="E79" s="44"/>
      <c r="F79" s="44"/>
      <c r="G79" s="44"/>
      <c r="H79" s="44"/>
      <c r="I79" s="44"/>
      <c r="J79" s="44"/>
      <c r="K79" s="44"/>
      <c r="L79" s="44"/>
      <c r="M79" s="44"/>
      <c r="N79" s="44"/>
      <c r="O79" s="44"/>
      <c r="P79" s="51"/>
      <c r="Q79" s="51"/>
    </row>
    <row r="80" spans="1:17" ht="15.5" x14ac:dyDescent="0.35">
      <c r="A80" s="22" t="s">
        <v>281</v>
      </c>
      <c r="C80" s="45"/>
      <c r="D80" s="44"/>
      <c r="E80" s="44"/>
      <c r="F80" s="44"/>
      <c r="G80" s="44"/>
      <c r="H80" s="44"/>
      <c r="I80" s="44"/>
      <c r="J80" s="44"/>
      <c r="K80" s="44"/>
      <c r="L80" s="44"/>
      <c r="M80" s="44"/>
      <c r="N80" s="44"/>
      <c r="O80" s="44"/>
      <c r="P80" s="51"/>
      <c r="Q80" s="51"/>
    </row>
    <row r="81" spans="1:17" s="12" customFormat="1" ht="13" x14ac:dyDescent="0.3">
      <c r="A81" s="235" t="str">
        <f>'Capital &amp; Operating Costs'!A158</f>
        <v>3c.  Total Operating 'Expenses'</v>
      </c>
      <c r="B81" s="235" t="str">
        <f>'Capital &amp; Operating Costs'!B158</f>
        <v>US$ 000 Real</v>
      </c>
      <c r="C81" s="360">
        <f>'Capital &amp; Operating Costs'!C158</f>
        <v>25434.689030251066</v>
      </c>
      <c r="D81" s="361">
        <f>'Capital &amp; Operating Costs'!D158</f>
        <v>1722.4379479452055</v>
      </c>
      <c r="E81" s="361">
        <f>'Capital &amp; Operating Costs'!E158</f>
        <v>1691.4488726027398</v>
      </c>
      <c r="F81" s="361">
        <f>'Capital &amp; Operating Costs'!F158</f>
        <v>1825.8613634246578</v>
      </c>
      <c r="G81" s="361">
        <f>'Capital &amp; Operating Costs'!G158</f>
        <v>2097.1300267857537</v>
      </c>
      <c r="H81" s="361">
        <f>'Capital &amp; Operating Costs'!H158</f>
        <v>2469.0452736579491</v>
      </c>
      <c r="I81" s="361">
        <f>'Capital &amp; Operating Costs'!I158</f>
        <v>2923.729413378042</v>
      </c>
      <c r="J81" s="361">
        <f>'Capital &amp; Operating Costs'!J158</f>
        <v>3170.2923910920535</v>
      </c>
      <c r="K81" s="361">
        <f>'Capital &amp; Operating Costs'!K158</f>
        <v>3200.3822525327096</v>
      </c>
      <c r="L81" s="361">
        <f>'Capital &amp; Operating Costs'!L158</f>
        <v>3245.9934898440861</v>
      </c>
      <c r="M81" s="361">
        <f>'Capital &amp; Operating Costs'!M158</f>
        <v>3088.3679989878642</v>
      </c>
      <c r="N81" s="361">
        <f>'Capital &amp; Operating Costs'!N158</f>
        <v>0</v>
      </c>
      <c r="O81" s="361">
        <f>'Capital &amp; Operating Costs'!O158</f>
        <v>0</v>
      </c>
      <c r="P81" s="69"/>
      <c r="Q81" s="69"/>
    </row>
    <row r="82" spans="1:17" s="12" customFormat="1" ht="13" x14ac:dyDescent="0.3">
      <c r="A82" s="235" t="str">
        <f>'Capital &amp; Operating Costs'!A153</f>
        <v>3a i.  Cost of purchasing ABC units ex-factory</v>
      </c>
      <c r="B82" s="235" t="str">
        <f>'Capital &amp; Operating Costs'!B153</f>
        <v>US$ 000 Real</v>
      </c>
      <c r="C82" s="360">
        <f>'Capital &amp; Operating Costs'!C153</f>
        <v>15590.092959201191</v>
      </c>
      <c r="D82" s="361">
        <f>'Capital &amp; Operating Costs'!D153</f>
        <v>1049.7260273972602</v>
      </c>
      <c r="E82" s="361">
        <f>'Capital &amp; Operating Costs'!E153</f>
        <v>1012.1117808219178</v>
      </c>
      <c r="F82" s="361">
        <f>'Capital &amp; Operating Costs'!F153</f>
        <v>1094.1350421917809</v>
      </c>
      <c r="G82" s="361">
        <f>'Capital &amp; Operating Costs'!G153</f>
        <v>1271.2387671967124</v>
      </c>
      <c r="H82" s="361">
        <f>'Capital &amp; Operating Costs'!H153</f>
        <v>1521.2818835894557</v>
      </c>
      <c r="I82" s="361">
        <f>'Capital &amp; Operating Costs'!I153</f>
        <v>1823.4391790972199</v>
      </c>
      <c r="J82" s="361">
        <f>'Capital &amp; Operating Costs'!J153</f>
        <v>1976.8874870560949</v>
      </c>
      <c r="K82" s="361">
        <f>'Capital &amp; Operating Costs'!K153</f>
        <v>1983.6266147866311</v>
      </c>
      <c r="L82" s="361">
        <f>'Capital &amp; Operating Costs'!L153</f>
        <v>2002.2727049656251</v>
      </c>
      <c r="M82" s="361">
        <f>'Capital &amp; Operating Costs'!M153</f>
        <v>1855.3734720984926</v>
      </c>
      <c r="N82" s="361">
        <f>'Capital &amp; Operating Costs'!N153</f>
        <v>0</v>
      </c>
      <c r="O82" s="361">
        <f>'Capital &amp; Operating Costs'!O153</f>
        <v>0</v>
      </c>
      <c r="P82" s="69"/>
      <c r="Q82" s="69"/>
    </row>
    <row r="83" spans="1:17" s="12" customFormat="1" ht="13" x14ac:dyDescent="0.3">
      <c r="A83" s="235" t="str">
        <f>Taxes!A23</f>
        <v>4a.  Withholding Tax ("WHT")</v>
      </c>
      <c r="B83" s="235" t="str">
        <f>Taxes!B23</f>
        <v>US$ 000  Real</v>
      </c>
      <c r="C83" s="360">
        <f>Taxes!C23</f>
        <v>52.000000000000007</v>
      </c>
      <c r="D83" s="361">
        <f>Taxes!D23</f>
        <v>5.2</v>
      </c>
      <c r="E83" s="361">
        <f>Taxes!E23</f>
        <v>5.2</v>
      </c>
      <c r="F83" s="361">
        <f>Taxes!F23</f>
        <v>5.2</v>
      </c>
      <c r="G83" s="361">
        <f>Taxes!G23</f>
        <v>5.2</v>
      </c>
      <c r="H83" s="361">
        <f>Taxes!H23</f>
        <v>5.2</v>
      </c>
      <c r="I83" s="361">
        <f>Taxes!I23</f>
        <v>5.2</v>
      </c>
      <c r="J83" s="361">
        <f>Taxes!J23</f>
        <v>5.2</v>
      </c>
      <c r="K83" s="361">
        <f>Taxes!K23</f>
        <v>5.2</v>
      </c>
      <c r="L83" s="361">
        <f>Taxes!L23</f>
        <v>5.2</v>
      </c>
      <c r="M83" s="361">
        <f>Taxes!M23</f>
        <v>5.2</v>
      </c>
      <c r="N83" s="361">
        <f>Taxes!N23</f>
        <v>0</v>
      </c>
      <c r="O83" s="361">
        <f>Taxes!O23</f>
        <v>0</v>
      </c>
      <c r="P83" s="69"/>
      <c r="Q83" s="69"/>
    </row>
    <row r="84" spans="1:17" s="12" customFormat="1" ht="13" x14ac:dyDescent="0.3">
      <c r="A84" s="12" t="s">
        <v>282</v>
      </c>
      <c r="B84" s="12" t="s">
        <v>17</v>
      </c>
      <c r="C84" s="222">
        <f t="shared" ref="C84" si="66">SUM(D84:O84)</f>
        <v>9896.5960710498712</v>
      </c>
      <c r="D84" s="99">
        <f>D81-D82+D83</f>
        <v>677.91192054794533</v>
      </c>
      <c r="E84" s="99">
        <f t="shared" ref="E84:O84" si="67">E81-E82+E83</f>
        <v>684.53709178082204</v>
      </c>
      <c r="F84" s="99">
        <f t="shared" si="67"/>
        <v>736.92632123287694</v>
      </c>
      <c r="G84" s="99">
        <f t="shared" si="67"/>
        <v>831.09125958904133</v>
      </c>
      <c r="H84" s="99">
        <f t="shared" si="67"/>
        <v>952.96339006849348</v>
      </c>
      <c r="I84" s="99">
        <f t="shared" si="67"/>
        <v>1105.4902342808221</v>
      </c>
      <c r="J84" s="99">
        <f t="shared" si="67"/>
        <v>1198.6049040359587</v>
      </c>
      <c r="K84" s="99">
        <f t="shared" si="67"/>
        <v>1221.9556377460785</v>
      </c>
      <c r="L84" s="99">
        <f t="shared" si="67"/>
        <v>1248.9207848784611</v>
      </c>
      <c r="M84" s="99">
        <f t="shared" si="67"/>
        <v>1238.1945268893717</v>
      </c>
      <c r="N84" s="99">
        <f t="shared" si="67"/>
        <v>0</v>
      </c>
      <c r="O84" s="99">
        <f t="shared" si="67"/>
        <v>0</v>
      </c>
      <c r="P84" s="69"/>
      <c r="Q84" s="69"/>
    </row>
    <row r="85" spans="1:17" s="63" customFormat="1" ht="19.5" customHeight="1" x14ac:dyDescent="0.3">
      <c r="A85" s="63" t="str">
        <f>A84</f>
        <v>Expenses (incl WHT)</v>
      </c>
      <c r="B85" s="63" t="s">
        <v>58</v>
      </c>
      <c r="C85" s="362">
        <f>SUM(D85:O85)</f>
        <v>11082.591674244743</v>
      </c>
      <c r="D85" s="363">
        <f>D84*D$61</f>
        <v>684.65747893484945</v>
      </c>
      <c r="E85" s="363">
        <f t="shared" ref="E85" si="68">E84*E$61</f>
        <v>705.17554537110766</v>
      </c>
      <c r="F85" s="363">
        <f t="shared" ref="F85" si="69">F84*F$61</f>
        <v>774.32716977286577</v>
      </c>
      <c r="G85" s="363">
        <f t="shared" ref="G85" si="70">G84*G$61</f>
        <v>890.73663784948099</v>
      </c>
      <c r="H85" s="363">
        <f t="shared" ref="H85" si="71">H84*H$61</f>
        <v>1041.7823364099004</v>
      </c>
      <c r="I85" s="363">
        <f t="shared" ref="I85" si="72">I84*I$61</f>
        <v>1232.6956264772348</v>
      </c>
      <c r="J85" s="363">
        <f t="shared" ref="J85" si="73">J84*J$61</f>
        <v>1363.2552118574804</v>
      </c>
      <c r="K85" s="363">
        <f t="shared" ref="K85" si="74">K84*K$61</f>
        <v>1417.6098678812989</v>
      </c>
      <c r="L85" s="363">
        <f t="shared" ref="L85" si="75">L84*L$61</f>
        <v>1477.8704084165302</v>
      </c>
      <c r="M85" s="363">
        <f t="shared" ref="M85" si="76">M84*M$61</f>
        <v>1494.4813912739933</v>
      </c>
      <c r="N85" s="363">
        <f t="shared" ref="N85" si="77">N84*N$61</f>
        <v>0</v>
      </c>
      <c r="O85" s="363">
        <f t="shared" ref="O85" si="78">O84*O$61</f>
        <v>0</v>
      </c>
      <c r="P85" s="66"/>
      <c r="Q85" s="66"/>
    </row>
    <row r="86" spans="1:17" x14ac:dyDescent="0.35">
      <c r="C86" s="45"/>
      <c r="D86" s="44"/>
      <c r="E86" s="44"/>
      <c r="F86" s="44"/>
      <c r="G86" s="44"/>
      <c r="H86" s="44"/>
      <c r="I86" s="44"/>
      <c r="J86" s="44"/>
      <c r="K86" s="44"/>
      <c r="L86" s="44"/>
      <c r="M86" s="44"/>
      <c r="N86" s="44"/>
      <c r="O86" s="44"/>
      <c r="P86" s="51"/>
      <c r="Q86" s="51"/>
    </row>
    <row r="87" spans="1:17" ht="16" thickBot="1" x14ac:dyDescent="0.4">
      <c r="A87" s="22" t="s">
        <v>228</v>
      </c>
      <c r="C87" s="45"/>
      <c r="D87" s="44"/>
      <c r="E87" s="44"/>
      <c r="F87" s="44"/>
      <c r="G87" s="44"/>
      <c r="H87" s="44"/>
      <c r="I87" s="44"/>
      <c r="J87" s="44"/>
      <c r="K87" s="44"/>
      <c r="L87" s="44"/>
      <c r="M87" s="44"/>
      <c r="N87" s="44"/>
      <c r="O87" s="44"/>
      <c r="P87" s="51"/>
      <c r="Q87" s="51"/>
    </row>
    <row r="88" spans="1:17" s="63" customFormat="1" ht="13.5" thickBot="1" x14ac:dyDescent="0.35">
      <c r="A88" s="63" t="s">
        <v>233</v>
      </c>
      <c r="B88" s="63" t="s">
        <v>57</v>
      </c>
      <c r="C88" s="362"/>
      <c r="D88" s="332">
        <v>0</v>
      </c>
      <c r="E88" s="363">
        <f>D90</f>
        <v>327.35760263051782</v>
      </c>
      <c r="F88" s="363">
        <f t="shared" ref="F88:O88" si="79">E90</f>
        <v>636.00905653929181</v>
      </c>
      <c r="G88" s="363">
        <f t="shared" si="79"/>
        <v>848.13678304386735</v>
      </c>
      <c r="H88" s="363">
        <f t="shared" si="79"/>
        <v>920.13899421170618</v>
      </c>
      <c r="I88" s="363">
        <f t="shared" si="79"/>
        <v>997.90138227297211</v>
      </c>
      <c r="J88" s="363">
        <f t="shared" si="79"/>
        <v>1081.8847613791393</v>
      </c>
      <c r="K88" s="363">
        <f t="shared" si="79"/>
        <v>1172.5868108138</v>
      </c>
      <c r="L88" s="363">
        <f t="shared" si="79"/>
        <v>1270.5450242032334</v>
      </c>
      <c r="M88" s="363">
        <f t="shared" si="79"/>
        <v>1376.3398946638215</v>
      </c>
      <c r="N88" s="363">
        <f t="shared" si="79"/>
        <v>1490.5983547612566</v>
      </c>
      <c r="O88" s="363">
        <f t="shared" si="79"/>
        <v>1490.5983547612566</v>
      </c>
      <c r="P88" s="66"/>
      <c r="Q88" s="66"/>
    </row>
    <row r="89" spans="1:17" s="63" customFormat="1" ht="13" x14ac:dyDescent="0.3">
      <c r="A89" s="329" t="str">
        <f>'Capital &amp; Operating Costs'!A41</f>
        <v>capital costs - added</v>
      </c>
      <c r="B89" s="329" t="str">
        <f>'Capital &amp; Operating Costs'!B41</f>
        <v>Nominal currency units</v>
      </c>
      <c r="C89" s="369">
        <f>'Capital &amp; Operating Costs'!C41</f>
        <v>1490.5983547612566</v>
      </c>
      <c r="D89" s="370">
        <f>'Capital &amp; Operating Costs'!D41</f>
        <v>327.35760263051782</v>
      </c>
      <c r="E89" s="370">
        <f>'Capital &amp; Operating Costs'!E41</f>
        <v>308.65145390877399</v>
      </c>
      <c r="F89" s="370">
        <f>'Capital &amp; Operating Costs'!F41</f>
        <v>212.12772650457561</v>
      </c>
      <c r="G89" s="370">
        <f>'Capital &amp; Operating Costs'!G41</f>
        <v>72.002211167838823</v>
      </c>
      <c r="H89" s="370">
        <f>'Capital &amp; Operating Costs'!H41</f>
        <v>77.762388061265924</v>
      </c>
      <c r="I89" s="370">
        <f>'Capital &amp; Operating Costs'!I41</f>
        <v>83.983379106167206</v>
      </c>
      <c r="J89" s="370">
        <f>'Capital &amp; Operating Costs'!J41</f>
        <v>90.702049434660594</v>
      </c>
      <c r="K89" s="370">
        <f>'Capital &amp; Operating Costs'!K41</f>
        <v>97.958213389433453</v>
      </c>
      <c r="L89" s="370">
        <f>'Capital &amp; Operating Costs'!L41</f>
        <v>105.79487046058813</v>
      </c>
      <c r="M89" s="370">
        <f>'Capital &amp; Operating Costs'!M41</f>
        <v>114.25846009743518</v>
      </c>
      <c r="N89" s="370">
        <f>'Capital &amp; Operating Costs'!N41</f>
        <v>0</v>
      </c>
      <c r="O89" s="370">
        <f>'Capital &amp; Operating Costs'!O41</f>
        <v>0</v>
      </c>
      <c r="P89" s="66"/>
      <c r="Q89" s="66"/>
    </row>
    <row r="90" spans="1:17" s="63" customFormat="1" ht="13" x14ac:dyDescent="0.3">
      <c r="A90" s="63" t="s">
        <v>234</v>
      </c>
      <c r="B90" s="63" t="s">
        <v>57</v>
      </c>
      <c r="C90" s="362"/>
      <c r="D90" s="363">
        <f>D88+D89</f>
        <v>327.35760263051782</v>
      </c>
      <c r="E90" s="363">
        <f t="shared" ref="E90:O90" si="80">E88+E89</f>
        <v>636.00905653929181</v>
      </c>
      <c r="F90" s="363">
        <f t="shared" si="80"/>
        <v>848.13678304386735</v>
      </c>
      <c r="G90" s="363">
        <f t="shared" si="80"/>
        <v>920.13899421170618</v>
      </c>
      <c r="H90" s="363">
        <f t="shared" si="80"/>
        <v>997.90138227297211</v>
      </c>
      <c r="I90" s="363">
        <f t="shared" si="80"/>
        <v>1081.8847613791393</v>
      </c>
      <c r="J90" s="363">
        <f t="shared" si="80"/>
        <v>1172.5868108138</v>
      </c>
      <c r="K90" s="363">
        <f t="shared" si="80"/>
        <v>1270.5450242032334</v>
      </c>
      <c r="L90" s="363">
        <f t="shared" si="80"/>
        <v>1376.3398946638215</v>
      </c>
      <c r="M90" s="363">
        <f t="shared" si="80"/>
        <v>1490.5983547612566</v>
      </c>
      <c r="N90" s="363">
        <f t="shared" si="80"/>
        <v>1490.5983547612566</v>
      </c>
      <c r="O90" s="363">
        <f t="shared" si="80"/>
        <v>1490.5983547612566</v>
      </c>
      <c r="P90" s="66"/>
      <c r="Q90" s="66"/>
    </row>
    <row r="91" spans="1:17" s="12" customFormat="1" ht="13" x14ac:dyDescent="0.3">
      <c r="A91" s="221" t="s">
        <v>222</v>
      </c>
      <c r="C91" s="222"/>
      <c r="D91" s="99"/>
      <c r="E91" s="99"/>
      <c r="F91" s="99"/>
      <c r="G91" s="99"/>
      <c r="H91" s="99"/>
      <c r="I91" s="99"/>
      <c r="J91" s="99"/>
      <c r="K91" s="99"/>
      <c r="L91" s="99"/>
      <c r="M91" s="99"/>
      <c r="N91" s="99"/>
      <c r="O91" s="99"/>
      <c r="P91" s="69"/>
      <c r="Q91" s="69"/>
    </row>
    <row r="92" spans="1:17" s="15" customFormat="1" ht="13" x14ac:dyDescent="0.3">
      <c r="A92" s="15" t="s">
        <v>414</v>
      </c>
      <c r="C92" s="379"/>
      <c r="D92" s="380"/>
      <c r="E92" s="380"/>
      <c r="F92" s="380"/>
      <c r="G92" s="380"/>
      <c r="H92" s="380"/>
      <c r="I92" s="380"/>
      <c r="J92" s="380"/>
      <c r="K92" s="380"/>
      <c r="L92" s="380"/>
      <c r="M92" s="380"/>
      <c r="N92" s="380"/>
      <c r="O92" s="380"/>
      <c r="P92" s="381"/>
      <c r="Q92" s="381"/>
    </row>
    <row r="93" spans="1:17" s="12" customFormat="1" ht="13" x14ac:dyDescent="0.3">
      <c r="A93" s="371" t="str">
        <f>'Sales &amp; Revenue'!A37</f>
        <v>Total ABC units sold</v>
      </c>
      <c r="B93" s="371" t="str">
        <f>'Sales &amp; Revenue'!B37</f>
        <v>units</v>
      </c>
      <c r="C93" s="360">
        <f>'Sales &amp; Revenue'!C37</f>
        <v>735565.2536666526</v>
      </c>
      <c r="D93" s="361">
        <f>'Sales &amp; Revenue'!D37</f>
        <v>40000</v>
      </c>
      <c r="E93" s="361">
        <f>'Sales &amp; Revenue'!E37</f>
        <v>42250</v>
      </c>
      <c r="F93" s="361">
        <f>'Sales &amp; Revenue'!F37</f>
        <v>46475</v>
      </c>
      <c r="G93" s="361">
        <f>'Sales &amp; Revenue'!G37</f>
        <v>55165</v>
      </c>
      <c r="H93" s="361">
        <f>'Sales &amp; Revenue'!H37</f>
        <v>68304.500000000015</v>
      </c>
      <c r="I93" s="361">
        <f>'Sales &amp; Revenue'!I37</f>
        <v>84836.950000000012</v>
      </c>
      <c r="J93" s="361">
        <f>'Sales &amp; Revenue'!J37</f>
        <v>95260.357500000013</v>
      </c>
      <c r="K93" s="361">
        <f>'Sales &amp; Revenue'!K37</f>
        <v>98118.168225000016</v>
      </c>
      <c r="L93" s="361">
        <f>'Sales &amp; Revenue'!L37</f>
        <v>101061.71327175002</v>
      </c>
      <c r="M93" s="361">
        <f>'Sales &amp; Revenue'!M37</f>
        <v>104093.56466990251</v>
      </c>
      <c r="N93" s="361">
        <f>'Sales &amp; Revenue'!N37</f>
        <v>0</v>
      </c>
      <c r="O93" s="361">
        <f>'Sales &amp; Revenue'!O37</f>
        <v>0</v>
      </c>
      <c r="P93" s="69"/>
      <c r="Q93" s="69"/>
    </row>
    <row r="94" spans="1:17" s="12" customFormat="1" ht="13" x14ac:dyDescent="0.3">
      <c r="A94" s="12" t="s">
        <v>297</v>
      </c>
      <c r="C94" s="372">
        <f>SUM(D94:O94)</f>
        <v>1</v>
      </c>
      <c r="D94" s="373">
        <f>D93/$C93</f>
        <v>5.4379947666923667E-2</v>
      </c>
      <c r="E94" s="373">
        <f t="shared" ref="E94:O94" si="81">E93/$C93</f>
        <v>5.7438819723188123E-2</v>
      </c>
      <c r="F94" s="373">
        <f t="shared" si="81"/>
        <v>6.3182701695506938E-2</v>
      </c>
      <c r="G94" s="373">
        <f t="shared" si="81"/>
        <v>7.49967453261461E-2</v>
      </c>
      <c r="H94" s="373">
        <f t="shared" si="81"/>
        <v>9.2859878385384703E-2</v>
      </c>
      <c r="I94" s="373">
        <f t="shared" si="81"/>
        <v>0.11533572253053551</v>
      </c>
      <c r="J94" s="373">
        <f t="shared" si="81"/>
        <v>0.129506331389561</v>
      </c>
      <c r="K94" s="373">
        <f t="shared" si="81"/>
        <v>0.13339152133124785</v>
      </c>
      <c r="L94" s="373">
        <f t="shared" si="81"/>
        <v>0.13739326697118528</v>
      </c>
      <c r="M94" s="373">
        <f t="shared" si="81"/>
        <v>0.14151506498032082</v>
      </c>
      <c r="N94" s="373">
        <f t="shared" si="81"/>
        <v>0</v>
      </c>
      <c r="O94" s="373">
        <f t="shared" si="81"/>
        <v>0</v>
      </c>
      <c r="P94" s="69"/>
      <c r="Q94" s="69"/>
    </row>
    <row r="95" spans="1:17" s="63" customFormat="1" ht="13.5" thickBot="1" x14ac:dyDescent="0.35">
      <c r="A95" s="374" t="s">
        <v>301</v>
      </c>
      <c r="C95" s="362">
        <f t="shared" ref="C95" si="82">SUM(D95:O95)</f>
        <v>1490.5983547612568</v>
      </c>
      <c r="D95" s="363">
        <f>$C89*D94</f>
        <v>81.058660524319649</v>
      </c>
      <c r="E95" s="363">
        <f t="shared" ref="E95:O95" si="83">$C89*E94</f>
        <v>85.618210178812632</v>
      </c>
      <c r="F95" s="363">
        <f t="shared" si="83"/>
        <v>94.180031196693903</v>
      </c>
      <c r="G95" s="363">
        <f t="shared" si="83"/>
        <v>111.79002519560234</v>
      </c>
      <c r="H95" s="363">
        <f t="shared" si="83"/>
        <v>138.41678194458481</v>
      </c>
      <c r="I95" s="363">
        <f t="shared" si="83"/>
        <v>171.91923824921702</v>
      </c>
      <c r="J95" s="363">
        <f t="shared" si="83"/>
        <v>193.0419245004457</v>
      </c>
      <c r="K95" s="363">
        <f t="shared" si="83"/>
        <v>198.83318223545911</v>
      </c>
      <c r="L95" s="363">
        <f t="shared" si="83"/>
        <v>204.79817770252288</v>
      </c>
      <c r="M95" s="363">
        <f t="shared" si="83"/>
        <v>210.94212303359853</v>
      </c>
      <c r="N95" s="363">
        <f t="shared" si="83"/>
        <v>0</v>
      </c>
      <c r="O95" s="363">
        <f t="shared" si="83"/>
        <v>0</v>
      </c>
      <c r="P95" s="66"/>
      <c r="Q95" s="66"/>
    </row>
    <row r="96" spans="1:17" s="63" customFormat="1" ht="13.5" thickBot="1" x14ac:dyDescent="0.35">
      <c r="A96" s="63" t="s">
        <v>285</v>
      </c>
      <c r="B96" s="63" t="s">
        <v>57</v>
      </c>
      <c r="C96" s="362"/>
      <c r="D96" s="375">
        <f>D95</f>
        <v>81.058660524319649</v>
      </c>
      <c r="E96" s="363">
        <f>D96+E95</f>
        <v>166.67687070313229</v>
      </c>
      <c r="F96" s="363">
        <f t="shared" ref="F96" si="84">E96+F95</f>
        <v>260.8569018998262</v>
      </c>
      <c r="G96" s="363">
        <f t="shared" ref="G96" si="85">F96+G95</f>
        <v>372.64692709542851</v>
      </c>
      <c r="H96" s="363">
        <f t="shared" ref="H96" si="86">G96+H95</f>
        <v>511.06370904001335</v>
      </c>
      <c r="I96" s="363">
        <f t="shared" ref="I96" si="87">H96+I95</f>
        <v>682.98294728923042</v>
      </c>
      <c r="J96" s="363">
        <f t="shared" ref="J96" si="88">I96+J95</f>
        <v>876.02487178967613</v>
      </c>
      <c r="K96" s="363">
        <f t="shared" ref="K96" si="89">J96+K95</f>
        <v>1074.8580540251353</v>
      </c>
      <c r="L96" s="363">
        <f t="shared" ref="L96" si="90">K96+L95</f>
        <v>1279.6562317276582</v>
      </c>
      <c r="M96" s="363">
        <f t="shared" ref="M96" si="91">L96+M95</f>
        <v>1490.5983547612568</v>
      </c>
      <c r="N96" s="363">
        <f t="shared" ref="N96" si="92">M96+N95</f>
        <v>1490.5983547612568</v>
      </c>
      <c r="O96" s="363">
        <f t="shared" ref="O96" si="93">N96+O95</f>
        <v>1490.5983547612568</v>
      </c>
      <c r="P96" s="66"/>
      <c r="Q96" s="66"/>
    </row>
    <row r="97" spans="1:17" s="15" customFormat="1" ht="15.65" customHeight="1" x14ac:dyDescent="0.3">
      <c r="A97" s="15" t="s">
        <v>415</v>
      </c>
      <c r="C97" s="382"/>
      <c r="D97" s="383"/>
      <c r="E97" s="383"/>
      <c r="F97" s="383"/>
      <c r="G97" s="383"/>
      <c r="H97" s="383"/>
      <c r="I97" s="383"/>
      <c r="J97" s="383"/>
      <c r="K97" s="383"/>
      <c r="L97" s="383"/>
      <c r="M97" s="383"/>
      <c r="N97" s="383"/>
      <c r="O97" s="383"/>
    </row>
    <row r="98" spans="1:17" s="63" customFormat="1" ht="13" x14ac:dyDescent="0.3">
      <c r="A98" s="329" t="str">
        <f>'Capital &amp; Operating Costs'!A37</f>
        <v>Inflation - In country</v>
      </c>
      <c r="B98" s="329"/>
      <c r="C98" s="369"/>
      <c r="D98" s="376">
        <f>'Capital &amp; Operating Costs'!D37</f>
        <v>0.08</v>
      </c>
      <c r="E98" s="376">
        <f>'Capital &amp; Operating Costs'!E37</f>
        <v>0.08</v>
      </c>
      <c r="F98" s="376">
        <f>'Capital &amp; Operating Costs'!F37</f>
        <v>0.08</v>
      </c>
      <c r="G98" s="376">
        <f>'Capital &amp; Operating Costs'!G37</f>
        <v>0.08</v>
      </c>
      <c r="H98" s="376">
        <f>'Capital &amp; Operating Costs'!H37</f>
        <v>0.08</v>
      </c>
      <c r="I98" s="376">
        <f>'Capital &amp; Operating Costs'!I37</f>
        <v>0.08</v>
      </c>
      <c r="J98" s="376">
        <f>'Capital &amp; Operating Costs'!J37</f>
        <v>0.08</v>
      </c>
      <c r="K98" s="376">
        <f>'Capital &amp; Operating Costs'!K37</f>
        <v>0.08</v>
      </c>
      <c r="L98" s="376">
        <f>'Capital &amp; Operating Costs'!L37</f>
        <v>0.08</v>
      </c>
      <c r="M98" s="376">
        <f>'Capital &amp; Operating Costs'!M37</f>
        <v>0.08</v>
      </c>
      <c r="N98" s="376">
        <f>'Capital &amp; Operating Costs'!N37</f>
        <v>0.08</v>
      </c>
      <c r="O98" s="376">
        <f>'Capital &amp; Operating Costs'!O37</f>
        <v>0.08</v>
      </c>
      <c r="P98" s="66"/>
      <c r="Q98" s="66"/>
    </row>
    <row r="99" spans="1:17" s="63" customFormat="1" ht="13" x14ac:dyDescent="0.3">
      <c r="A99" s="329" t="str">
        <f>'Project funding (Nominal)'!A25</f>
        <v xml:space="preserve">Inflation - US$ </v>
      </c>
      <c r="B99" s="329"/>
      <c r="C99" s="369"/>
      <c r="D99" s="376">
        <f>'Project funding (Nominal)'!D25</f>
        <v>0.02</v>
      </c>
      <c r="E99" s="376">
        <f>'Project funding (Nominal)'!E25</f>
        <v>0.02</v>
      </c>
      <c r="F99" s="376">
        <f>'Project funding (Nominal)'!F25</f>
        <v>0.02</v>
      </c>
      <c r="G99" s="376">
        <f>'Project funding (Nominal)'!G25</f>
        <v>0.02</v>
      </c>
      <c r="H99" s="376">
        <f>'Project funding (Nominal)'!H25</f>
        <v>0.02</v>
      </c>
      <c r="I99" s="376">
        <f>'Project funding (Nominal)'!I25</f>
        <v>0.02</v>
      </c>
      <c r="J99" s="376">
        <f>'Project funding (Nominal)'!J25</f>
        <v>0.02</v>
      </c>
      <c r="K99" s="376">
        <f>'Project funding (Nominal)'!K25</f>
        <v>0.02</v>
      </c>
      <c r="L99" s="376">
        <f>'Project funding (Nominal)'!L25</f>
        <v>0.02</v>
      </c>
      <c r="M99" s="376">
        <f>'Project funding (Nominal)'!M25</f>
        <v>0.02</v>
      </c>
      <c r="N99" s="376">
        <f>'Project funding (Nominal)'!N25</f>
        <v>0.02</v>
      </c>
      <c r="O99" s="376">
        <f>'Project funding (Nominal)'!O25</f>
        <v>0.02</v>
      </c>
      <c r="P99" s="66"/>
      <c r="Q99" s="66"/>
    </row>
    <row r="100" spans="1:17" s="63" customFormat="1" ht="13.5" thickBot="1" x14ac:dyDescent="0.35">
      <c r="A100" s="63" t="s">
        <v>286</v>
      </c>
      <c r="C100" s="377"/>
      <c r="D100" s="378">
        <f>D98-D99</f>
        <v>0.06</v>
      </c>
      <c r="E100" s="378">
        <f t="shared" ref="E100:O100" si="94">E98-E99</f>
        <v>0.06</v>
      </c>
      <c r="F100" s="378">
        <f t="shared" si="94"/>
        <v>0.06</v>
      </c>
      <c r="G100" s="378">
        <f t="shared" si="94"/>
        <v>0.06</v>
      </c>
      <c r="H100" s="378">
        <f t="shared" si="94"/>
        <v>0.06</v>
      </c>
      <c r="I100" s="378">
        <f t="shared" si="94"/>
        <v>0.06</v>
      </c>
      <c r="J100" s="378">
        <f t="shared" si="94"/>
        <v>0.06</v>
      </c>
      <c r="K100" s="378">
        <f t="shared" si="94"/>
        <v>0.06</v>
      </c>
      <c r="L100" s="378">
        <f t="shared" si="94"/>
        <v>0.06</v>
      </c>
      <c r="M100" s="378">
        <f t="shared" si="94"/>
        <v>0.06</v>
      </c>
      <c r="N100" s="378">
        <f t="shared" si="94"/>
        <v>0.06</v>
      </c>
      <c r="O100" s="378">
        <f t="shared" si="94"/>
        <v>0.06</v>
      </c>
      <c r="P100" s="66"/>
      <c r="Q100" s="66"/>
    </row>
    <row r="101" spans="1:17" s="63" customFormat="1" ht="13.5" thickBot="1" x14ac:dyDescent="0.35">
      <c r="A101" s="63" t="s">
        <v>287</v>
      </c>
      <c r="C101" s="377"/>
      <c r="D101" s="210">
        <f>(1+D100)^0.5</f>
        <v>1.0295630140987</v>
      </c>
      <c r="E101" s="211">
        <f t="shared" ref="E101:O101" si="95">D101*(1+E100)</f>
        <v>1.091336794944622</v>
      </c>
      <c r="F101" s="211">
        <f t="shared" si="95"/>
        <v>1.1568170026412994</v>
      </c>
      <c r="G101" s="211">
        <f t="shared" si="95"/>
        <v>1.2262260227997774</v>
      </c>
      <c r="H101" s="211">
        <f t="shared" si="95"/>
        <v>1.2997995841677641</v>
      </c>
      <c r="I101" s="211">
        <f t="shared" si="95"/>
        <v>1.3777875592178299</v>
      </c>
      <c r="J101" s="211">
        <f t="shared" si="95"/>
        <v>1.4604548127708998</v>
      </c>
      <c r="K101" s="211">
        <f t="shared" si="95"/>
        <v>1.548082101537154</v>
      </c>
      <c r="L101" s="211">
        <f t="shared" si="95"/>
        <v>1.6409670276293833</v>
      </c>
      <c r="M101" s="211">
        <f t="shared" si="95"/>
        <v>1.7394250492871464</v>
      </c>
      <c r="N101" s="211">
        <f t="shared" si="95"/>
        <v>1.8437905522443752</v>
      </c>
      <c r="O101" s="211">
        <f t="shared" si="95"/>
        <v>1.9544179853790378</v>
      </c>
      <c r="P101" s="66"/>
      <c r="Q101" s="66"/>
    </row>
    <row r="102" spans="1:17" s="63" customFormat="1" ht="13.5" thickBot="1" x14ac:dyDescent="0.35">
      <c r="A102" s="63" t="s">
        <v>288</v>
      </c>
      <c r="B102" s="63" t="s">
        <v>57</v>
      </c>
      <c r="C102" s="362">
        <f t="shared" ref="C102" si="96">SUM(D102:O102)</f>
        <v>1067.7250419880986</v>
      </c>
      <c r="D102" s="362">
        <f>D95/D101</f>
        <v>78.731130988888538</v>
      </c>
      <c r="E102" s="362">
        <f t="shared" ref="E102:O102" si="97">E95/E101</f>
        <v>78.452601044352377</v>
      </c>
      <c r="F102" s="362">
        <f t="shared" si="97"/>
        <v>81.413076555460023</v>
      </c>
      <c r="G102" s="362">
        <f t="shared" si="97"/>
        <v>91.165921385649639</v>
      </c>
      <c r="H102" s="362">
        <f t="shared" si="97"/>
        <v>106.49086492300299</v>
      </c>
      <c r="I102" s="362">
        <f t="shared" si="97"/>
        <v>124.77920641612963</v>
      </c>
      <c r="J102" s="362">
        <f t="shared" si="97"/>
        <v>132.17932031336872</v>
      </c>
      <c r="K102" s="362">
        <f t="shared" si="97"/>
        <v>128.4383961535564</v>
      </c>
      <c r="L102" s="362">
        <f t="shared" si="97"/>
        <v>124.80334720581423</v>
      </c>
      <c r="M102" s="362">
        <f t="shared" si="97"/>
        <v>121.27117700187607</v>
      </c>
      <c r="N102" s="362">
        <f t="shared" si="97"/>
        <v>0</v>
      </c>
      <c r="O102" s="362">
        <f t="shared" si="97"/>
        <v>0</v>
      </c>
      <c r="P102" s="66"/>
      <c r="Q102" s="66"/>
    </row>
    <row r="103" spans="1:17" s="63" customFormat="1" ht="13.5" thickBot="1" x14ac:dyDescent="0.35">
      <c r="A103" s="63" t="s">
        <v>235</v>
      </c>
      <c r="B103" s="63" t="s">
        <v>57</v>
      </c>
      <c r="C103" s="362"/>
      <c r="D103" s="375">
        <f>D102</f>
        <v>78.731130988888538</v>
      </c>
      <c r="E103" s="363">
        <f>D103+E102</f>
        <v>157.18373203324091</v>
      </c>
      <c r="F103" s="363">
        <f t="shared" ref="F103:O103" si="98">E103+F102</f>
        <v>238.59680858870092</v>
      </c>
      <c r="G103" s="363">
        <f t="shared" si="98"/>
        <v>329.76272997435058</v>
      </c>
      <c r="H103" s="363">
        <f t="shared" si="98"/>
        <v>436.25359489735354</v>
      </c>
      <c r="I103" s="363">
        <f t="shared" si="98"/>
        <v>561.03280131348311</v>
      </c>
      <c r="J103" s="363">
        <f t="shared" si="98"/>
        <v>693.21212162685185</v>
      </c>
      <c r="K103" s="363">
        <f t="shared" si="98"/>
        <v>821.65051778040822</v>
      </c>
      <c r="L103" s="363">
        <f t="shared" si="98"/>
        <v>946.45386498622247</v>
      </c>
      <c r="M103" s="363">
        <f t="shared" si="98"/>
        <v>1067.7250419880986</v>
      </c>
      <c r="N103" s="363">
        <f t="shared" si="98"/>
        <v>1067.7250419880986</v>
      </c>
      <c r="O103" s="363">
        <f t="shared" si="98"/>
        <v>1067.7250419880986</v>
      </c>
      <c r="P103" s="66"/>
      <c r="Q103" s="66"/>
    </row>
    <row r="104" spans="1:17" s="63" customFormat="1" ht="13" x14ac:dyDescent="0.3">
      <c r="A104" s="63" t="s">
        <v>232</v>
      </c>
      <c r="B104" s="63" t="s">
        <v>57</v>
      </c>
      <c r="C104" s="362"/>
      <c r="D104" s="363">
        <f t="shared" ref="D104:O104" si="99">D90-D96</f>
        <v>246.29894210619818</v>
      </c>
      <c r="E104" s="363">
        <f t="shared" si="99"/>
        <v>469.33218583615951</v>
      </c>
      <c r="F104" s="363">
        <f t="shared" si="99"/>
        <v>587.27988114404116</v>
      </c>
      <c r="G104" s="363">
        <f t="shared" si="99"/>
        <v>547.49206711627767</v>
      </c>
      <c r="H104" s="363">
        <f t="shared" si="99"/>
        <v>486.83767323295876</v>
      </c>
      <c r="I104" s="363">
        <f t="shared" si="99"/>
        <v>398.90181408990884</v>
      </c>
      <c r="J104" s="363">
        <f t="shared" si="99"/>
        <v>296.56193902412383</v>
      </c>
      <c r="K104" s="363">
        <f t="shared" si="99"/>
        <v>195.68697017809814</v>
      </c>
      <c r="L104" s="363">
        <f t="shared" si="99"/>
        <v>96.683662936163273</v>
      </c>
      <c r="M104" s="363">
        <f t="shared" si="99"/>
        <v>0</v>
      </c>
      <c r="N104" s="363">
        <f t="shared" si="99"/>
        <v>0</v>
      </c>
      <c r="O104" s="363">
        <f t="shared" si="99"/>
        <v>0</v>
      </c>
      <c r="P104" s="66"/>
      <c r="Q104" s="66"/>
    </row>
    <row r="105" spans="1:17" x14ac:dyDescent="0.35">
      <c r="C105" s="45"/>
      <c r="D105" s="44"/>
      <c r="E105" s="44"/>
      <c r="F105" s="44"/>
      <c r="G105" s="44"/>
      <c r="H105" s="44"/>
      <c r="I105" s="44"/>
      <c r="J105" s="44"/>
      <c r="K105" s="44"/>
      <c r="L105" s="44"/>
      <c r="M105" s="44"/>
      <c r="N105" s="44"/>
      <c r="O105" s="44"/>
      <c r="P105" s="51"/>
      <c r="Q105" s="51"/>
    </row>
    <row r="106" spans="1:17" ht="15.5" x14ac:dyDescent="0.35">
      <c r="A106" s="22" t="s">
        <v>230</v>
      </c>
      <c r="C106" s="45"/>
      <c r="D106" s="44"/>
      <c r="E106" s="44"/>
      <c r="F106" s="44"/>
      <c r="G106" s="44"/>
      <c r="H106" s="44"/>
      <c r="I106" s="44"/>
      <c r="J106" s="44"/>
      <c r="K106" s="44"/>
      <c r="L106" s="44"/>
      <c r="M106" s="44"/>
      <c r="N106" s="44"/>
      <c r="O106" s="44"/>
      <c r="P106" s="51"/>
      <c r="Q106" s="51"/>
    </row>
    <row r="107" spans="1:17" s="384" customFormat="1" ht="15" thickBot="1" x14ac:dyDescent="0.4">
      <c r="A107" s="384" t="s">
        <v>416</v>
      </c>
      <c r="B107" s="385"/>
      <c r="C107" s="386"/>
      <c r="D107" s="387"/>
      <c r="E107" s="387"/>
      <c r="F107" s="387"/>
      <c r="G107" s="387"/>
      <c r="H107" s="387"/>
      <c r="I107" s="387"/>
      <c r="J107" s="387"/>
      <c r="K107" s="387"/>
      <c r="L107" s="387"/>
      <c r="M107" s="387"/>
      <c r="N107" s="387"/>
      <c r="O107" s="387"/>
      <c r="P107" s="388"/>
      <c r="Q107" s="388"/>
    </row>
    <row r="108" spans="1:17" s="63" customFormat="1" ht="13.5" thickBot="1" x14ac:dyDescent="0.35">
      <c r="A108" s="63" t="s">
        <v>298</v>
      </c>
      <c r="B108" s="63" t="s">
        <v>57</v>
      </c>
      <c r="C108" s="362"/>
      <c r="D108" s="332">
        <v>0</v>
      </c>
      <c r="E108" s="363">
        <f>D113</f>
        <v>0</v>
      </c>
      <c r="F108" s="363">
        <f t="shared" ref="F108:O108" si="100">E113</f>
        <v>0</v>
      </c>
      <c r="G108" s="363">
        <f t="shared" si="100"/>
        <v>0</v>
      </c>
      <c r="H108" s="363">
        <f t="shared" si="100"/>
        <v>0</v>
      </c>
      <c r="I108" s="363">
        <f t="shared" si="100"/>
        <v>0</v>
      </c>
      <c r="J108" s="363">
        <f t="shared" si="100"/>
        <v>0</v>
      </c>
      <c r="K108" s="363">
        <f t="shared" si="100"/>
        <v>0</v>
      </c>
      <c r="L108" s="363">
        <f t="shared" si="100"/>
        <v>0</v>
      </c>
      <c r="M108" s="363">
        <f t="shared" si="100"/>
        <v>0</v>
      </c>
      <c r="N108" s="363">
        <f t="shared" si="100"/>
        <v>0</v>
      </c>
      <c r="O108" s="363">
        <f t="shared" si="100"/>
        <v>0</v>
      </c>
      <c r="P108" s="66"/>
      <c r="Q108" s="66"/>
    </row>
    <row r="109" spans="1:17" s="63" customFormat="1" ht="13" x14ac:dyDescent="0.3">
      <c r="A109" s="63" t="s">
        <v>332</v>
      </c>
      <c r="B109" s="63" t="str">
        <f>B25</f>
        <v>US$ 000  Nominal</v>
      </c>
      <c r="C109" s="362">
        <f>SUM(D109:O109)</f>
        <v>5520.8144827621845</v>
      </c>
      <c r="D109" s="363">
        <f t="shared" ref="D109:O109" si="101">D25</f>
        <v>125.36782465212497</v>
      </c>
      <c r="E109" s="363">
        <f t="shared" si="101"/>
        <v>162.98265541644594</v>
      </c>
      <c r="F109" s="363">
        <f t="shared" si="101"/>
        <v>194.54132974091732</v>
      </c>
      <c r="G109" s="363">
        <f t="shared" si="101"/>
        <v>293.59285995865366</v>
      </c>
      <c r="H109" s="363">
        <f t="shared" si="101"/>
        <v>490.50702977486242</v>
      </c>
      <c r="I109" s="363">
        <f t="shared" si="101"/>
        <v>712.14491300607392</v>
      </c>
      <c r="J109" s="363">
        <f t="shared" si="101"/>
        <v>835.76634729612863</v>
      </c>
      <c r="K109" s="363">
        <f t="shared" si="101"/>
        <v>862.77364903441526</v>
      </c>
      <c r="L109" s="363">
        <f t="shared" si="101"/>
        <v>886.50907896018805</v>
      </c>
      <c r="M109" s="363">
        <f t="shared" si="101"/>
        <v>956.6287949223746</v>
      </c>
      <c r="N109" s="363">
        <f t="shared" si="101"/>
        <v>0</v>
      </c>
      <c r="O109" s="363">
        <f t="shared" si="101"/>
        <v>0</v>
      </c>
      <c r="P109" s="66"/>
      <c r="Q109" s="66"/>
    </row>
    <row r="110" spans="1:17" s="63" customFormat="1" ht="13" x14ac:dyDescent="0.3">
      <c r="A110" s="63" t="s">
        <v>284</v>
      </c>
      <c r="B110" s="63" t="s">
        <v>57</v>
      </c>
      <c r="C110" s="362"/>
      <c r="D110" s="363">
        <f>D108+D109</f>
        <v>125.36782465212497</v>
      </c>
      <c r="E110" s="363">
        <f t="shared" ref="E110:O110" si="102">E108+E109</f>
        <v>162.98265541644594</v>
      </c>
      <c r="F110" s="363">
        <f t="shared" si="102"/>
        <v>194.54132974091732</v>
      </c>
      <c r="G110" s="363">
        <f t="shared" si="102"/>
        <v>293.59285995865366</v>
      </c>
      <c r="H110" s="363">
        <f t="shared" si="102"/>
        <v>490.50702977486242</v>
      </c>
      <c r="I110" s="363">
        <f t="shared" si="102"/>
        <v>712.14491300607392</v>
      </c>
      <c r="J110" s="363">
        <f t="shared" si="102"/>
        <v>835.76634729612863</v>
      </c>
      <c r="K110" s="363">
        <f t="shared" si="102"/>
        <v>862.77364903441526</v>
      </c>
      <c r="L110" s="363">
        <f t="shared" si="102"/>
        <v>886.50907896018805</v>
      </c>
      <c r="M110" s="363">
        <f t="shared" si="102"/>
        <v>956.6287949223746</v>
      </c>
      <c r="N110" s="363">
        <f t="shared" si="102"/>
        <v>0</v>
      </c>
      <c r="O110" s="363">
        <f t="shared" si="102"/>
        <v>0</v>
      </c>
      <c r="P110" s="66"/>
      <c r="Q110" s="66"/>
    </row>
    <row r="111" spans="1:17" s="12" customFormat="1" ht="13" x14ac:dyDescent="0.3">
      <c r="A111" s="389" t="s">
        <v>300</v>
      </c>
      <c r="B111" s="235" t="str">
        <f>Taxes!B68</f>
        <v>% of assessable income</v>
      </c>
      <c r="C111" s="360"/>
      <c r="D111" s="390">
        <f>Taxes!D68</f>
        <v>0.25</v>
      </c>
      <c r="E111" s="390">
        <f>Taxes!E68</f>
        <v>0.25</v>
      </c>
      <c r="F111" s="390">
        <f>Taxes!F68</f>
        <v>0.25</v>
      </c>
      <c r="G111" s="390">
        <f>Taxes!G68</f>
        <v>0.25</v>
      </c>
      <c r="H111" s="390">
        <f>Taxes!H68</f>
        <v>0.25</v>
      </c>
      <c r="I111" s="390">
        <f>Taxes!I68</f>
        <v>0.25</v>
      </c>
      <c r="J111" s="390">
        <f>Taxes!J68</f>
        <v>0.25</v>
      </c>
      <c r="K111" s="390">
        <f>Taxes!K68</f>
        <v>0.25</v>
      </c>
      <c r="L111" s="390">
        <f>Taxes!L68</f>
        <v>0.25</v>
      </c>
      <c r="M111" s="390">
        <f>Taxes!M68</f>
        <v>0.25</v>
      </c>
      <c r="N111" s="390">
        <f>Taxes!N68</f>
        <v>0.25</v>
      </c>
      <c r="O111" s="390">
        <f>Taxes!O68</f>
        <v>0.25</v>
      </c>
      <c r="P111" s="69"/>
      <c r="Q111" s="69"/>
    </row>
    <row r="112" spans="1:17" s="63" customFormat="1" ht="13" x14ac:dyDescent="0.3">
      <c r="A112" s="318" t="s">
        <v>231</v>
      </c>
      <c r="B112" s="63" t="s">
        <v>57</v>
      </c>
      <c r="C112" s="362">
        <f t="shared" ref="C112" si="103">SUM(D112:O112)</f>
        <v>1380.2036206905461</v>
      </c>
      <c r="D112" s="362">
        <f>IF(D110&lt;0,0,D110*D111)</f>
        <v>31.341956163031242</v>
      </c>
      <c r="E112" s="362">
        <f t="shared" ref="E112:O112" si="104">IF(E110&lt;0,0,E110*E111)</f>
        <v>40.745663854111484</v>
      </c>
      <c r="F112" s="362">
        <f t="shared" si="104"/>
        <v>48.63533243522933</v>
      </c>
      <c r="G112" s="362">
        <f t="shared" si="104"/>
        <v>73.398214989663416</v>
      </c>
      <c r="H112" s="362">
        <f t="shared" si="104"/>
        <v>122.6267574437156</v>
      </c>
      <c r="I112" s="362">
        <f t="shared" si="104"/>
        <v>178.03622825151848</v>
      </c>
      <c r="J112" s="362">
        <f t="shared" si="104"/>
        <v>208.94158682403216</v>
      </c>
      <c r="K112" s="362">
        <f t="shared" si="104"/>
        <v>215.69341225860381</v>
      </c>
      <c r="L112" s="362">
        <f t="shared" si="104"/>
        <v>221.62726974004701</v>
      </c>
      <c r="M112" s="362">
        <f t="shared" si="104"/>
        <v>239.15719873059365</v>
      </c>
      <c r="N112" s="362">
        <f t="shared" si="104"/>
        <v>0</v>
      </c>
      <c r="O112" s="362">
        <f t="shared" si="104"/>
        <v>0</v>
      </c>
      <c r="P112" s="66"/>
      <c r="Q112" s="66"/>
    </row>
    <row r="113" spans="1:17" s="63" customFormat="1" ht="13" x14ac:dyDescent="0.3">
      <c r="A113" s="63" t="s">
        <v>223</v>
      </c>
      <c r="C113" s="362"/>
      <c r="D113" s="363">
        <f>IF(D110-D112&lt;0,D110-D112,0)</f>
        <v>0</v>
      </c>
      <c r="E113" s="363">
        <f t="shared" ref="E113:O113" si="105">IF(E110-E112&lt;0,E110-E112,0)</f>
        <v>0</v>
      </c>
      <c r="F113" s="363">
        <f t="shared" si="105"/>
        <v>0</v>
      </c>
      <c r="G113" s="363">
        <f t="shared" si="105"/>
        <v>0</v>
      </c>
      <c r="H113" s="363">
        <f t="shared" si="105"/>
        <v>0</v>
      </c>
      <c r="I113" s="363">
        <f t="shared" si="105"/>
        <v>0</v>
      </c>
      <c r="J113" s="363">
        <f t="shared" si="105"/>
        <v>0</v>
      </c>
      <c r="K113" s="363">
        <f t="shared" si="105"/>
        <v>0</v>
      </c>
      <c r="L113" s="363">
        <f t="shared" si="105"/>
        <v>0</v>
      </c>
      <c r="M113" s="363">
        <f t="shared" si="105"/>
        <v>0</v>
      </c>
      <c r="N113" s="363">
        <f t="shared" si="105"/>
        <v>0</v>
      </c>
      <c r="O113" s="363">
        <f t="shared" si="105"/>
        <v>0</v>
      </c>
      <c r="P113" s="66"/>
      <c r="Q113" s="66"/>
    </row>
    <row r="114" spans="1:17" x14ac:dyDescent="0.35">
      <c r="C114" s="45"/>
      <c r="D114" s="44"/>
      <c r="E114" s="44"/>
      <c r="F114" s="44"/>
      <c r="G114" s="44"/>
      <c r="H114" s="44"/>
      <c r="I114" s="44"/>
      <c r="J114" s="44"/>
      <c r="K114" s="44"/>
      <c r="L114" s="44"/>
      <c r="M114" s="44"/>
      <c r="N114" s="44"/>
      <c r="O114" s="44"/>
      <c r="P114" s="51"/>
      <c r="Q114" s="51"/>
    </row>
    <row r="115" spans="1:17" ht="15.5" x14ac:dyDescent="0.35">
      <c r="A115" s="22" t="s">
        <v>229</v>
      </c>
      <c r="C115" s="45"/>
      <c r="D115" s="44"/>
      <c r="E115" s="44"/>
      <c r="F115" s="44"/>
      <c r="G115" s="44"/>
      <c r="H115" s="44"/>
      <c r="I115" s="44"/>
      <c r="J115" s="44"/>
      <c r="K115" s="44"/>
      <c r="L115" s="44"/>
      <c r="M115" s="44"/>
      <c r="N115" s="44"/>
      <c r="O115" s="44"/>
      <c r="P115" s="51"/>
      <c r="Q115" s="51"/>
    </row>
    <row r="116" spans="1:17" s="12" customFormat="1" ht="13" x14ac:dyDescent="0.3">
      <c r="A116" s="235" t="str">
        <f>'Cash Generation - before fundng'!A29</f>
        <v>Cumulative Cash Generation  (Real)</v>
      </c>
      <c r="B116" s="235" t="str">
        <f>'Cash Generation - before fundng'!B29</f>
        <v>US$ 000  Real</v>
      </c>
      <c r="C116" s="360"/>
      <c r="D116" s="361">
        <f>'Cash Generation - before fundng'!D29</f>
        <v>-303.31131312031948</v>
      </c>
      <c r="E116" s="361">
        <f>'Cash Generation - before fundng'!E29</f>
        <v>-378.85770214805234</v>
      </c>
      <c r="F116" s="361">
        <f>'Cash Generation - before fundng'!F29</f>
        <v>-333.39040478282118</v>
      </c>
      <c r="G116" s="361">
        <f>'Cash Generation - before fundng'!G29</f>
        <v>-127.89788738217135</v>
      </c>
      <c r="H116" s="361">
        <f>'Cash Generation - before fundng'!H29</f>
        <v>183.96732891113174</v>
      </c>
      <c r="I116" s="361">
        <f>'Cash Generation - before fundng'!I29</f>
        <v>639.56934640481882</v>
      </c>
      <c r="J116" s="361">
        <f>'Cash Generation - before fundng'!J29</f>
        <v>1186.0151556609474</v>
      </c>
      <c r="K116" s="361">
        <f>'Cash Generation - before fundng'!K29</f>
        <v>1749.5238665065528</v>
      </c>
      <c r="L116" s="361">
        <f>'Cash Generation - before fundng'!L29</f>
        <v>2313.9919428063695</v>
      </c>
      <c r="M116" s="361">
        <f>'Cash Generation - before fundng'!M29</f>
        <v>3193.781226863905</v>
      </c>
      <c r="N116" s="361">
        <f>'Cash Generation - before fundng'!N29</f>
        <v>3282.1755937606645</v>
      </c>
      <c r="O116" s="361">
        <f>'Cash Generation - before fundng'!O29</f>
        <v>3282.1755937606645</v>
      </c>
      <c r="P116" s="69"/>
      <c r="Q116" s="69"/>
    </row>
    <row r="117" spans="1:17" s="63" customFormat="1" ht="18.75" customHeight="1" x14ac:dyDescent="0.3">
      <c r="A117" s="65" t="s">
        <v>289</v>
      </c>
      <c r="B117" s="63" t="s">
        <v>58</v>
      </c>
      <c r="C117" s="362">
        <f>SUM(D117:O117)</f>
        <v>17864.243078540338</v>
      </c>
      <c r="D117" s="363">
        <f>D116*D$61</f>
        <v>-306.32941047197534</v>
      </c>
      <c r="E117" s="363">
        <f t="shared" ref="E117" si="106">E116*E$61</f>
        <v>-390.28007384563796</v>
      </c>
      <c r="F117" s="363">
        <f t="shared" ref="F117" si="107">F116*F$61</f>
        <v>-350.31079923027028</v>
      </c>
      <c r="G117" s="363">
        <f t="shared" ref="G117" si="108">G116*G$61</f>
        <v>-137.0768045992684</v>
      </c>
      <c r="H117" s="363">
        <f t="shared" ref="H117" si="109">H116*H$61</f>
        <v>201.1136164657411</v>
      </c>
      <c r="I117" s="363">
        <f t="shared" ref="I117" si="110">I116*I$61</f>
        <v>713.16264196129646</v>
      </c>
      <c r="J117" s="363">
        <f t="shared" ref="J117" si="111">J116*J$61</f>
        <v>1348.9360312580877</v>
      </c>
      <c r="K117" s="363">
        <f t="shared" ref="K117" si="112">K116*K$61</f>
        <v>2029.6500303629725</v>
      </c>
      <c r="L117" s="363">
        <f t="shared" ref="L117" si="113">L116*L$61</f>
        <v>2738.1882494017468</v>
      </c>
      <c r="M117" s="363">
        <f t="shared" ref="M117" si="114">M116*M$61</f>
        <v>3854.8438938260506</v>
      </c>
      <c r="N117" s="363">
        <f t="shared" ref="N117" si="115">N116*N$61</f>
        <v>4040.7651997087091</v>
      </c>
      <c r="O117" s="363">
        <f t="shared" ref="O117" si="116">O116*O$61</f>
        <v>4121.5805037028831</v>
      </c>
      <c r="P117" s="66"/>
      <c r="Q117" s="66"/>
    </row>
    <row r="118" spans="1:17" x14ac:dyDescent="0.35">
      <c r="A118" s="358"/>
      <c r="B118" s="108"/>
      <c r="C118" s="45"/>
      <c r="D118" s="44"/>
      <c r="E118" s="44"/>
      <c r="F118" s="44"/>
      <c r="G118" s="44"/>
      <c r="H118" s="44"/>
      <c r="I118" s="44"/>
      <c r="J118" s="44"/>
      <c r="K118" s="44"/>
      <c r="L118" s="44"/>
      <c r="M118" s="44"/>
      <c r="N118" s="44"/>
      <c r="O118" s="44"/>
      <c r="P118" s="51"/>
      <c r="Q118" s="51"/>
    </row>
    <row r="119" spans="1:17" ht="15.5" x14ac:dyDescent="0.35">
      <c r="A119" s="22" t="s">
        <v>293</v>
      </c>
      <c r="C119" s="45"/>
      <c r="D119" s="44"/>
      <c r="E119" s="44"/>
      <c r="F119" s="44"/>
      <c r="G119" s="44"/>
      <c r="H119" s="44"/>
      <c r="I119" s="44"/>
      <c r="J119" s="44"/>
      <c r="K119" s="44"/>
      <c r="L119" s="44"/>
      <c r="M119" s="44"/>
      <c r="N119" s="44"/>
      <c r="O119" s="44"/>
      <c r="P119" s="51"/>
      <c r="Q119" s="51"/>
    </row>
    <row r="120" spans="1:17" s="12" customFormat="1" ht="13" x14ac:dyDescent="0.3">
      <c r="A120" s="235" t="str">
        <f>'Sales &amp; Revenue'!A90</f>
        <v>Total debtors - at end of year</v>
      </c>
      <c r="B120" s="235" t="str">
        <f>'Sales &amp; Revenue'!B90</f>
        <v>US$ 000  Real</v>
      </c>
      <c r="C120" s="360">
        <v>0</v>
      </c>
      <c r="D120" s="361">
        <f>'Sales &amp; Revenue'!D90</f>
        <v>108</v>
      </c>
      <c r="E120" s="361">
        <f>'Sales &amp; Revenue'!E90</f>
        <v>115.9474589041096</v>
      </c>
      <c r="F120" s="361">
        <f>'Sales &amp; Revenue'!F90</f>
        <v>129.48848542465754</v>
      </c>
      <c r="G120" s="361">
        <f>'Sales &amp; Revenue'!G90</f>
        <v>164.0463907171507</v>
      </c>
      <c r="H120" s="361">
        <f>'Sales &amp; Revenue'!H90</f>
        <v>225.6937795779306</v>
      </c>
      <c r="I120" s="361">
        <f>'Sales &amp; Revenue'!I90</f>
        <v>289.36755778384327</v>
      </c>
      <c r="J120" s="361">
        <f>'Sales &amp; Revenue'!J90</f>
        <v>321.42052388581476</v>
      </c>
      <c r="K120" s="361">
        <f>'Sales &amp; Revenue'!K90</f>
        <v>328.18058224506274</v>
      </c>
      <c r="L120" s="361">
        <f>'Sales &amp; Revenue'!L90</f>
        <v>335.11634631592949</v>
      </c>
      <c r="M120" s="361">
        <f>'Sales &amp; Revenue'!M90</f>
        <v>342.23283256699506</v>
      </c>
      <c r="N120" s="361">
        <f>'Sales &amp; Revenue'!N90</f>
        <v>0</v>
      </c>
      <c r="O120" s="361">
        <f>'Sales &amp; Revenue'!O90</f>
        <v>0</v>
      </c>
      <c r="P120" s="69"/>
      <c r="Q120" s="69"/>
    </row>
    <row r="121" spans="1:17" s="63" customFormat="1" ht="18.75" customHeight="1" x14ac:dyDescent="0.3">
      <c r="A121" s="65" t="str">
        <f>A120</f>
        <v>Total debtors - at end of year</v>
      </c>
      <c r="B121" s="63" t="s">
        <v>58</v>
      </c>
      <c r="C121" s="362"/>
      <c r="D121" s="363">
        <f t="shared" ref="D121:O121" si="117">D120*D$61</f>
        <v>109.07465333431044</v>
      </c>
      <c r="E121" s="363">
        <f t="shared" si="117"/>
        <v>119.44321724684409</v>
      </c>
      <c r="F121" s="363">
        <f t="shared" si="117"/>
        <v>136.06034897668519</v>
      </c>
      <c r="G121" s="363">
        <f t="shared" si="117"/>
        <v>175.81959722569061</v>
      </c>
      <c r="H121" s="363">
        <f t="shared" si="117"/>
        <v>246.72909311340729</v>
      </c>
      <c r="I121" s="363">
        <f t="shared" si="117"/>
        <v>322.66420078924989</v>
      </c>
      <c r="J121" s="363">
        <f t="shared" si="117"/>
        <v>365.57351209715489</v>
      </c>
      <c r="K121" s="363">
        <f t="shared" si="117"/>
        <v>380.72743188595689</v>
      </c>
      <c r="L121" s="363">
        <f t="shared" si="117"/>
        <v>396.54919478754147</v>
      </c>
      <c r="M121" s="363">
        <f t="shared" si="117"/>
        <v>413.06966607199325</v>
      </c>
      <c r="N121" s="363">
        <f t="shared" si="117"/>
        <v>0</v>
      </c>
      <c r="O121" s="363">
        <f t="shared" si="117"/>
        <v>0</v>
      </c>
      <c r="P121" s="66"/>
      <c r="Q121" s="66"/>
    </row>
    <row r="122" spans="1:17" s="69" customFormat="1" ht="13" x14ac:dyDescent="0.3">
      <c r="A122" s="371" t="str">
        <f>'Capital &amp; Operating Costs'!A169</f>
        <v>Total creditors - at end of year</v>
      </c>
      <c r="B122" s="371" t="str">
        <f>'Capital &amp; Operating Costs'!B169</f>
        <v>US$ 000  Real</v>
      </c>
      <c r="C122" s="364"/>
      <c r="D122" s="365">
        <f>'Capital &amp; Operating Costs'!D169</f>
        <v>141.57024229686621</v>
      </c>
      <c r="E122" s="365">
        <f>'Capital &amp; Operating Costs'!E169</f>
        <v>139.02319500844436</v>
      </c>
      <c r="F122" s="365">
        <f>'Capital &amp; Operating Costs'!F169</f>
        <v>150.07079699380748</v>
      </c>
      <c r="G122" s="365">
        <f>'Capital &amp; Operating Costs'!G169</f>
        <v>172.36685151663727</v>
      </c>
      <c r="H122" s="365">
        <f>'Capital &amp; Operating Costs'!H169</f>
        <v>202.93522797188621</v>
      </c>
      <c r="I122" s="365">
        <f>'Capital &amp; Operating Costs'!I169</f>
        <v>240.30652712696232</v>
      </c>
      <c r="J122" s="365">
        <f>'Capital &amp; Operating Costs'!J169</f>
        <v>260.57197735003183</v>
      </c>
      <c r="K122" s="365">
        <f>'Capital &amp; Operating Costs'!K169</f>
        <v>263.04511664652409</v>
      </c>
      <c r="L122" s="365">
        <f>'Capital &amp; Operating Costs'!L169</f>
        <v>266.7939854666372</v>
      </c>
      <c r="M122" s="365">
        <f>'Capital &amp; Operating Costs'!M169</f>
        <v>253.83846567023539</v>
      </c>
      <c r="N122" s="365">
        <f>'Capital &amp; Operating Costs'!N169</f>
        <v>0</v>
      </c>
      <c r="O122" s="365">
        <f>'Capital &amp; Operating Costs'!O169</f>
        <v>0</v>
      </c>
    </row>
    <row r="123" spans="1:17" s="63" customFormat="1" ht="18.75" customHeight="1" x14ac:dyDescent="0.3">
      <c r="A123" s="65" t="str">
        <f>A122</f>
        <v>Total creditors - at end of year</v>
      </c>
      <c r="B123" s="63" t="s">
        <v>58</v>
      </c>
      <c r="C123" s="362"/>
      <c r="D123" s="363">
        <f t="shared" ref="D123:O123" si="118">D122*D$61</f>
        <v>142.97893612023162</v>
      </c>
      <c r="E123" s="363">
        <f t="shared" si="118"/>
        <v>143.21467534253512</v>
      </c>
      <c r="F123" s="363">
        <f t="shared" si="118"/>
        <v>157.68726418587443</v>
      </c>
      <c r="G123" s="363">
        <f t="shared" si="118"/>
        <v>184.73719705890005</v>
      </c>
      <c r="H123" s="363">
        <f t="shared" si="118"/>
        <v>221.84937862222822</v>
      </c>
      <c r="I123" s="363">
        <f t="shared" si="118"/>
        <v>267.95786685175813</v>
      </c>
      <c r="J123" s="363">
        <f t="shared" si="118"/>
        <v>296.36630468498674</v>
      </c>
      <c r="K123" s="363">
        <f t="shared" si="118"/>
        <v>305.16275839924333</v>
      </c>
      <c r="L123" s="363">
        <f t="shared" si="118"/>
        <v>315.70211741093169</v>
      </c>
      <c r="M123" s="363">
        <f t="shared" si="118"/>
        <v>306.37905037970125</v>
      </c>
      <c r="N123" s="363">
        <f t="shared" si="118"/>
        <v>0</v>
      </c>
      <c r="O123" s="363">
        <f t="shared" si="118"/>
        <v>0</v>
      </c>
      <c r="P123" s="66"/>
      <c r="Q123" s="66"/>
    </row>
    <row r="124" spans="1:17" s="12" customFormat="1" ht="13" x14ac:dyDescent="0.3">
      <c r="A124" s="70"/>
      <c r="B124" s="70"/>
      <c r="C124" s="222"/>
      <c r="D124" s="99"/>
      <c r="E124" s="99"/>
      <c r="F124" s="99"/>
      <c r="G124" s="99"/>
      <c r="H124" s="99"/>
      <c r="I124" s="99"/>
      <c r="J124" s="99"/>
      <c r="K124" s="99"/>
      <c r="L124" s="99"/>
      <c r="M124" s="99"/>
      <c r="N124" s="99"/>
      <c r="O124" s="99"/>
      <c r="P124" s="69"/>
      <c r="Q124" s="69"/>
    </row>
    <row r="125" spans="1:17" ht="15.5" x14ac:dyDescent="0.35">
      <c r="A125" s="22" t="s">
        <v>294</v>
      </c>
      <c r="C125" s="45"/>
      <c r="D125" s="51"/>
      <c r="E125" s="51"/>
      <c r="F125" s="51"/>
      <c r="G125" s="51"/>
      <c r="H125" s="51"/>
      <c r="I125" s="51"/>
      <c r="J125" s="51"/>
      <c r="K125" s="51"/>
      <c r="L125" s="51"/>
      <c r="M125" s="51"/>
      <c r="N125" s="51"/>
      <c r="O125" s="51"/>
      <c r="P125" s="51"/>
      <c r="Q125" s="51"/>
    </row>
    <row r="126" spans="1:17" s="66" customFormat="1" ht="13" x14ac:dyDescent="0.3">
      <c r="A126" s="391" t="str">
        <f>'Project funding (Nominal)'!A46</f>
        <v>project loan - closing balance</v>
      </c>
      <c r="B126" s="391" t="str">
        <f>'Project funding (Nominal)'!B46</f>
        <v>US$ 000 Nominal</v>
      </c>
      <c r="C126" s="392"/>
      <c r="D126" s="393">
        <f>'Project funding (Nominal)'!D46</f>
        <v>153.16470523598767</v>
      </c>
      <c r="E126" s="393">
        <f>'Project funding (Nominal)'!E46</f>
        <v>192.07674281809921</v>
      </c>
      <c r="F126" s="393">
        <f>'Project funding (Nominal)'!F46</f>
        <v>44.301866725818797</v>
      </c>
      <c r="G126" s="393">
        <f>'Project funding (Nominal)'!G46</f>
        <v>0</v>
      </c>
      <c r="H126" s="393">
        <f>'Project funding (Nominal)'!H46</f>
        <v>0</v>
      </c>
      <c r="I126" s="393">
        <f>'Project funding (Nominal)'!I46</f>
        <v>0</v>
      </c>
      <c r="J126" s="393">
        <f>'Project funding (Nominal)'!J46</f>
        <v>0</v>
      </c>
      <c r="K126" s="393">
        <f>'Project funding (Nominal)'!K46</f>
        <v>0</v>
      </c>
      <c r="L126" s="393">
        <f>'Project funding (Nominal)'!L46</f>
        <v>0</v>
      </c>
      <c r="M126" s="393">
        <f>'Project funding (Nominal)'!M46</f>
        <v>0</v>
      </c>
      <c r="N126" s="393">
        <f>'Project funding (Nominal)'!N46</f>
        <v>0</v>
      </c>
      <c r="O126" s="393">
        <f>'Project funding (Nominal)'!O46</f>
        <v>0</v>
      </c>
    </row>
    <row r="127" spans="1:17" s="63" customFormat="1" ht="13" x14ac:dyDescent="0.3">
      <c r="A127" s="66" t="s">
        <v>240</v>
      </c>
      <c r="B127" s="63" t="s">
        <v>57</v>
      </c>
      <c r="C127" s="362"/>
      <c r="D127" s="363">
        <f t="shared" ref="D127:O127" si="119">IF(D126-E126&gt;0,D126-E126,0)</f>
        <v>0</v>
      </c>
      <c r="E127" s="363">
        <f t="shared" si="119"/>
        <v>147.77487609228041</v>
      </c>
      <c r="F127" s="363">
        <f t="shared" si="119"/>
        <v>44.301866725818797</v>
      </c>
      <c r="G127" s="363">
        <f t="shared" si="119"/>
        <v>0</v>
      </c>
      <c r="H127" s="363">
        <f t="shared" si="119"/>
        <v>0</v>
      </c>
      <c r="I127" s="363">
        <f t="shared" si="119"/>
        <v>0</v>
      </c>
      <c r="J127" s="363">
        <f t="shared" si="119"/>
        <v>0</v>
      </c>
      <c r="K127" s="363">
        <f t="shared" si="119"/>
        <v>0</v>
      </c>
      <c r="L127" s="363">
        <f t="shared" si="119"/>
        <v>0</v>
      </c>
      <c r="M127" s="363">
        <f t="shared" si="119"/>
        <v>0</v>
      </c>
      <c r="N127" s="363">
        <f t="shared" si="119"/>
        <v>0</v>
      </c>
      <c r="O127" s="363">
        <f t="shared" si="119"/>
        <v>0</v>
      </c>
      <c r="P127" s="66"/>
      <c r="Q127" s="66"/>
    </row>
    <row r="128" spans="1:17" s="63" customFormat="1" ht="13" x14ac:dyDescent="0.3">
      <c r="A128" s="66" t="s">
        <v>241</v>
      </c>
      <c r="B128" s="63" t="s">
        <v>57</v>
      </c>
      <c r="C128" s="362"/>
      <c r="D128" s="363">
        <f t="shared" ref="D128:O128" si="120">D126-D127</f>
        <v>153.16470523598767</v>
      </c>
      <c r="E128" s="363">
        <f t="shared" si="120"/>
        <v>44.301866725818797</v>
      </c>
      <c r="F128" s="363">
        <f t="shared" si="120"/>
        <v>0</v>
      </c>
      <c r="G128" s="363">
        <f t="shared" si="120"/>
        <v>0</v>
      </c>
      <c r="H128" s="363">
        <f t="shared" si="120"/>
        <v>0</v>
      </c>
      <c r="I128" s="363">
        <f t="shared" si="120"/>
        <v>0</v>
      </c>
      <c r="J128" s="363">
        <f t="shared" si="120"/>
        <v>0</v>
      </c>
      <c r="K128" s="363">
        <f t="shared" si="120"/>
        <v>0</v>
      </c>
      <c r="L128" s="363">
        <f t="shared" si="120"/>
        <v>0</v>
      </c>
      <c r="M128" s="363">
        <f t="shared" si="120"/>
        <v>0</v>
      </c>
      <c r="N128" s="363">
        <f t="shared" si="120"/>
        <v>0</v>
      </c>
      <c r="O128" s="363">
        <f t="shared" si="120"/>
        <v>0</v>
      </c>
      <c r="P128" s="66"/>
      <c r="Q128" s="66"/>
    </row>
    <row r="129" spans="1:17" s="12" customFormat="1" ht="13" x14ac:dyDescent="0.3">
      <c r="C129" s="222"/>
      <c r="D129" s="99"/>
      <c r="E129" s="99"/>
      <c r="F129" s="99"/>
      <c r="G129" s="99"/>
      <c r="H129" s="99"/>
      <c r="I129" s="99"/>
      <c r="J129" s="99"/>
      <c r="K129" s="99"/>
      <c r="L129" s="99"/>
      <c r="M129" s="99"/>
      <c r="N129" s="99"/>
      <c r="O129" s="99"/>
      <c r="P129" s="69"/>
      <c r="Q129" s="69"/>
    </row>
    <row r="130" spans="1:17" ht="15.5" x14ac:dyDescent="0.35">
      <c r="A130" s="22" t="s">
        <v>295</v>
      </c>
      <c r="C130" s="45"/>
      <c r="D130" s="51"/>
      <c r="E130" s="51"/>
      <c r="F130" s="51"/>
      <c r="G130" s="51"/>
      <c r="H130" s="51"/>
      <c r="I130" s="51"/>
      <c r="J130" s="51"/>
      <c r="K130" s="51"/>
      <c r="L130" s="51"/>
      <c r="M130" s="51"/>
      <c r="N130" s="51"/>
      <c r="O130" s="51"/>
      <c r="P130" s="51"/>
      <c r="Q130" s="51"/>
    </row>
    <row r="131" spans="1:17" s="69" customFormat="1" ht="13" x14ac:dyDescent="0.3">
      <c r="A131" s="371" t="str">
        <f>'Project funding (Nominal)'!A60</f>
        <v>closing balance of equity funds invested</v>
      </c>
      <c r="B131" s="371" t="str">
        <f>'Project funding (Nominal)'!B60</f>
        <v>US$ 000 Nominal</v>
      </c>
      <c r="C131" s="364"/>
      <c r="D131" s="365">
        <f>'Project funding (Nominal)'!D60</f>
        <v>159.29129344542716</v>
      </c>
      <c r="E131" s="365">
        <f>'Project funding (Nominal)'!E60</f>
        <v>218.13957715914168</v>
      </c>
      <c r="F131" s="365">
        <f>'Project funding (Nominal)'!F60</f>
        <v>218.13957715914168</v>
      </c>
      <c r="G131" s="365">
        <f>'Project funding (Nominal)'!G60</f>
        <v>218.13957715914168</v>
      </c>
      <c r="H131" s="365">
        <f>'Project funding (Nominal)'!H60</f>
        <v>218.13957715914168</v>
      </c>
      <c r="I131" s="365">
        <f>'Project funding (Nominal)'!I60</f>
        <v>218.13957715914168</v>
      </c>
      <c r="J131" s="365">
        <f>'Project funding (Nominal)'!J60</f>
        <v>218.13957715914168</v>
      </c>
      <c r="K131" s="365">
        <f>'Project funding (Nominal)'!K60</f>
        <v>218.13957715914168</v>
      </c>
      <c r="L131" s="365">
        <f>'Project funding (Nominal)'!L60</f>
        <v>218.13957715914168</v>
      </c>
      <c r="M131" s="365">
        <f>'Project funding (Nominal)'!M60</f>
        <v>218.13957715914168</v>
      </c>
      <c r="N131" s="365">
        <f>'Project funding (Nominal)'!N60</f>
        <v>218.13957715914168</v>
      </c>
      <c r="O131" s="365">
        <f>'Project funding (Nominal)'!O60</f>
        <v>218.13957715914168</v>
      </c>
    </row>
    <row r="132" spans="1:17" x14ac:dyDescent="0.35">
      <c r="C132" s="45"/>
      <c r="D132" s="44"/>
      <c r="E132" s="44"/>
      <c r="F132" s="44"/>
      <c r="G132" s="44"/>
      <c r="H132" s="44"/>
      <c r="I132" s="44"/>
      <c r="J132" s="44"/>
      <c r="K132" s="44"/>
      <c r="L132" s="44"/>
      <c r="M132" s="44"/>
      <c r="N132" s="44"/>
      <c r="O132" s="44"/>
      <c r="P132" s="51"/>
      <c r="Q132" s="51"/>
    </row>
  </sheetData>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Intro, Audits</vt:lpstr>
      <vt:lpstr>Sales &amp; Revenue</vt:lpstr>
      <vt:lpstr>Capital &amp; Operating Costs</vt:lpstr>
      <vt:lpstr>Taxes</vt:lpstr>
      <vt:lpstr>Cash Generation - before fundng</vt:lpstr>
      <vt:lpstr>Project funding (Nominal)</vt:lpstr>
      <vt:lpstr>Accounting (Nominal)</vt:lpstr>
      <vt:lpstr>'Capital &amp; Operating Costs'!Print_Area</vt:lpstr>
      <vt:lpstr>'Cash Generation - before fundng'!Print_Area</vt:lpstr>
      <vt:lpstr>'Intro, Audits'!Print_Area</vt:lpstr>
      <vt:lpstr>'Project funding (Nominal)'!Print_Area</vt:lpstr>
      <vt:lpstr>'Sales &amp; Revenue'!Print_Area</vt:lpstr>
      <vt:lpstr>Taxes!Print_Area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mpcard</dc:creator>
  <cp:lastModifiedBy>Peter and Margie Card</cp:lastModifiedBy>
  <cp:lastPrinted>2016-11-15T08:56:09Z</cp:lastPrinted>
  <dcterms:created xsi:type="dcterms:W3CDTF">2009-07-21T00:07:29Z</dcterms:created>
  <dcterms:modified xsi:type="dcterms:W3CDTF">2023-09-10T06:12:50Z</dcterms:modified>
</cp:coreProperties>
</file>