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peter\Documents\9. PBC Eco Eval\2023 revamp of working examples\"/>
    </mc:Choice>
  </mc:AlternateContent>
  <xr:revisionPtr revIDLastSave="0" documentId="13_ncr:1_{840E73A5-B46D-473E-903C-505FFF8037CF}" xr6:coauthVersionLast="47" xr6:coauthVersionMax="47" xr10:uidLastSave="{00000000-0000-0000-0000-000000000000}"/>
  <bookViews>
    <workbookView xWindow="-80" yWindow="-80" windowWidth="19360" windowHeight="11440" tabRatio="798" xr2:uid="{00000000-000D-0000-FFFF-FFFF00000000}"/>
  </bookViews>
  <sheets>
    <sheet name="Intro &amp; Audits" sheetId="5" r:id="rId1"/>
    <sheet name="business model (in Real terms)" sheetId="6" r:id="rId2"/>
    <sheet name="project funding (in Nominal)" sheetId="8" r:id="rId3"/>
  </sheets>
  <definedNames>
    <definedName name="_xlnm.Print_Area" localSheetId="1">'business model (in Real terms)'!$A$1:$J$178</definedName>
    <definedName name="_xlnm.Print_Area" localSheetId="0">'Intro &amp; Audits'!#REF!</definedName>
    <definedName name="_xlnm.Print_Area" localSheetId="2">'project funding (in Nominal)'!$A$3:$O$22</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22" i="8" l="1"/>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C22" i="8"/>
  <c r="B22" i="8"/>
  <c r="A22" i="8"/>
  <c r="A1" i="8"/>
  <c r="E69" i="6"/>
  <c r="E72" i="6"/>
  <c r="F69" i="6"/>
  <c r="F72" i="6"/>
  <c r="G69" i="6"/>
  <c r="G72" i="6"/>
  <c r="H69" i="6"/>
  <c r="H72" i="6"/>
  <c r="I69" i="6"/>
  <c r="I72" i="6"/>
  <c r="J69" i="6"/>
  <c r="J72" i="6"/>
  <c r="K67" i="6"/>
  <c r="K68" i="6"/>
  <c r="K69" i="6"/>
  <c r="K72" i="6"/>
  <c r="L67" i="6"/>
  <c r="L68" i="6"/>
  <c r="L69" i="6"/>
  <c r="L72" i="6"/>
  <c r="M67" i="6"/>
  <c r="M68" i="6"/>
  <c r="M69" i="6"/>
  <c r="M72" i="6"/>
  <c r="N67" i="6"/>
  <c r="N68" i="6"/>
  <c r="N69" i="6"/>
  <c r="N72" i="6"/>
  <c r="O67" i="6"/>
  <c r="O68" i="6"/>
  <c r="O69" i="6"/>
  <c r="O72" i="6"/>
  <c r="P67" i="6"/>
  <c r="P68" i="6"/>
  <c r="P69" i="6"/>
  <c r="P72" i="6"/>
  <c r="Q67" i="6"/>
  <c r="Q68" i="6"/>
  <c r="Q69" i="6"/>
  <c r="Q72" i="6"/>
  <c r="R67" i="6"/>
  <c r="R68" i="6"/>
  <c r="R69" i="6"/>
  <c r="R72" i="6"/>
  <c r="S67" i="6"/>
  <c r="S68" i="6"/>
  <c r="S69" i="6"/>
  <c r="S72" i="6"/>
  <c r="T67" i="6"/>
  <c r="T68" i="6"/>
  <c r="T69" i="6"/>
  <c r="T72" i="6"/>
  <c r="U67" i="6"/>
  <c r="U68" i="6"/>
  <c r="U69" i="6"/>
  <c r="U72" i="6"/>
  <c r="V67" i="6"/>
  <c r="V68" i="6"/>
  <c r="V69" i="6"/>
  <c r="V72" i="6"/>
  <c r="W67" i="6"/>
  <c r="W68" i="6"/>
  <c r="W69" i="6"/>
  <c r="W72" i="6"/>
  <c r="X67" i="6"/>
  <c r="X68" i="6"/>
  <c r="X69" i="6"/>
  <c r="X72" i="6"/>
  <c r="Y67" i="6"/>
  <c r="Y68" i="6"/>
  <c r="Y69" i="6"/>
  <c r="Y72" i="6"/>
  <c r="Z67" i="6"/>
  <c r="Z68" i="6"/>
  <c r="Z69" i="6"/>
  <c r="Z72" i="6"/>
  <c r="AA67" i="6"/>
  <c r="AA68" i="6"/>
  <c r="AA69" i="6"/>
  <c r="AA72" i="6"/>
  <c r="AB67" i="6"/>
  <c r="AB68" i="6"/>
  <c r="AB69" i="6"/>
  <c r="AB72" i="6"/>
  <c r="AC67" i="6"/>
  <c r="AC68" i="6"/>
  <c r="AC69" i="6"/>
  <c r="AC72" i="6"/>
  <c r="AD67" i="6"/>
  <c r="AD68" i="6"/>
  <c r="AD69" i="6"/>
  <c r="AD72" i="6"/>
  <c r="AE67" i="6"/>
  <c r="AE68" i="6"/>
  <c r="AE69" i="6"/>
  <c r="AE72" i="6"/>
  <c r="AF67" i="6"/>
  <c r="AF68" i="6"/>
  <c r="AF69" i="6"/>
  <c r="AF72" i="6"/>
  <c r="AG67" i="6"/>
  <c r="AG68" i="6"/>
  <c r="AG69" i="6"/>
  <c r="AG72" i="6"/>
  <c r="AH67" i="6"/>
  <c r="AH68" i="6"/>
  <c r="AH69" i="6"/>
  <c r="AH72" i="6"/>
  <c r="AI67" i="6"/>
  <c r="AI68" i="6"/>
  <c r="AI69" i="6"/>
  <c r="AI72" i="6"/>
  <c r="AJ67" i="6"/>
  <c r="AJ68" i="6"/>
  <c r="AJ69" i="6"/>
  <c r="AJ72" i="6"/>
  <c r="AK67" i="6"/>
  <c r="AK68" i="6"/>
  <c r="AK69" i="6"/>
  <c r="AK72" i="6"/>
  <c r="AL67" i="6"/>
  <c r="AL68" i="6"/>
  <c r="AL69" i="6"/>
  <c r="AL72" i="6"/>
  <c r="AM67" i="6"/>
  <c r="AM68" i="6"/>
  <c r="AM69" i="6"/>
  <c r="AM72" i="6"/>
  <c r="AN67" i="6"/>
  <c r="AN68" i="6"/>
  <c r="AN69" i="6"/>
  <c r="AN72" i="6"/>
  <c r="AO67" i="6"/>
  <c r="AO68" i="6"/>
  <c r="AO69" i="6"/>
  <c r="AO72" i="6"/>
  <c r="AP67" i="6"/>
  <c r="AP68" i="6"/>
  <c r="AP69" i="6"/>
  <c r="AP72" i="6"/>
  <c r="AQ67" i="6"/>
  <c r="AQ68" i="6"/>
  <c r="AQ69" i="6"/>
  <c r="AQ72" i="6"/>
  <c r="AR67" i="6"/>
  <c r="AR68" i="6"/>
  <c r="AR69" i="6"/>
  <c r="AR72" i="6"/>
  <c r="AS67" i="6"/>
  <c r="AS68" i="6"/>
  <c r="AS69" i="6"/>
  <c r="AS72" i="6"/>
  <c r="AT67" i="6"/>
  <c r="AT68" i="6"/>
  <c r="AT69" i="6"/>
  <c r="AT72" i="6"/>
  <c r="AU67" i="6"/>
  <c r="AU68" i="6"/>
  <c r="AU69" i="6"/>
  <c r="AU72" i="6"/>
  <c r="AV67" i="6"/>
  <c r="AV68" i="6"/>
  <c r="AV69" i="6"/>
  <c r="AV72" i="6"/>
  <c r="AW67" i="6"/>
  <c r="AW68" i="6"/>
  <c r="AW69" i="6"/>
  <c r="AW72" i="6"/>
  <c r="AX67" i="6"/>
  <c r="AX68" i="6"/>
  <c r="AX69" i="6"/>
  <c r="AX72" i="6"/>
  <c r="AY67" i="6"/>
  <c r="AY68" i="6"/>
  <c r="AY69" i="6"/>
  <c r="AY72" i="6"/>
  <c r="D69" i="6"/>
  <c r="D72" i="6"/>
  <c r="K87" i="6"/>
  <c r="J88" i="6"/>
  <c r="J89" i="6"/>
  <c r="J87" i="6"/>
  <c r="I89" i="6"/>
  <c r="J90" i="6"/>
  <c r="J91" i="6"/>
  <c r="J99" i="6"/>
  <c r="J100" i="6"/>
  <c r="E114" i="6"/>
  <c r="F114" i="6"/>
  <c r="G114" i="6"/>
  <c r="H114" i="6"/>
  <c r="I114" i="6"/>
  <c r="J114" i="6"/>
  <c r="J115" i="6"/>
  <c r="I115" i="6"/>
  <c r="J116" i="6"/>
  <c r="D104" i="6"/>
  <c r="E104" i="6"/>
  <c r="F104" i="6"/>
  <c r="G104" i="6"/>
  <c r="H104" i="6"/>
  <c r="I104" i="6"/>
  <c r="J104" i="6"/>
  <c r="E105" i="6"/>
  <c r="F105" i="6"/>
  <c r="G105" i="6"/>
  <c r="H105" i="6"/>
  <c r="I105" i="6"/>
  <c r="J105" i="6"/>
  <c r="E106" i="6"/>
  <c r="F106" i="6"/>
  <c r="G106" i="6"/>
  <c r="H106" i="6"/>
  <c r="I106" i="6"/>
  <c r="J106" i="6"/>
  <c r="D107" i="6"/>
  <c r="E107" i="6"/>
  <c r="F107" i="6"/>
  <c r="G107" i="6"/>
  <c r="H107" i="6"/>
  <c r="I107" i="6"/>
  <c r="J107" i="6"/>
  <c r="E108" i="6"/>
  <c r="F108" i="6"/>
  <c r="G108" i="6"/>
  <c r="H108" i="6"/>
  <c r="I108" i="6"/>
  <c r="J108" i="6"/>
  <c r="E109" i="6"/>
  <c r="F109" i="6"/>
  <c r="G109" i="6"/>
  <c r="H109" i="6"/>
  <c r="I109" i="6"/>
  <c r="J109" i="6"/>
  <c r="J110" i="6"/>
  <c r="J118" i="6"/>
  <c r="J166" i="6"/>
  <c r="J82" i="6"/>
  <c r="E124" i="6"/>
  <c r="F124" i="6"/>
  <c r="G124" i="6"/>
  <c r="H124" i="6"/>
  <c r="I124" i="6"/>
  <c r="J124" i="6"/>
  <c r="J125" i="6"/>
  <c r="J129" i="6"/>
  <c r="J127" i="6"/>
  <c r="J130" i="6"/>
  <c r="J145" i="6"/>
  <c r="J148" i="6"/>
  <c r="J143" i="6"/>
  <c r="F82" i="6"/>
  <c r="F137" i="6"/>
  <c r="E82" i="6"/>
  <c r="E137" i="6"/>
  <c r="D82" i="6"/>
  <c r="D137" i="6"/>
  <c r="D138" i="6"/>
  <c r="D139" i="6"/>
  <c r="D140" i="6"/>
  <c r="D141" i="6"/>
  <c r="E136" i="6"/>
  <c r="E138" i="6"/>
  <c r="E139" i="6"/>
  <c r="E140" i="6"/>
  <c r="E141" i="6"/>
  <c r="F136" i="6"/>
  <c r="F138" i="6"/>
  <c r="F139" i="6"/>
  <c r="F140" i="6"/>
  <c r="F141" i="6"/>
  <c r="G136" i="6"/>
  <c r="G82" i="6"/>
  <c r="G137" i="6"/>
  <c r="G138" i="6"/>
  <c r="G139" i="6"/>
  <c r="G140" i="6"/>
  <c r="G141" i="6"/>
  <c r="H136" i="6"/>
  <c r="H82" i="6"/>
  <c r="H137" i="6"/>
  <c r="H138" i="6"/>
  <c r="H139" i="6"/>
  <c r="H140" i="6"/>
  <c r="H141" i="6"/>
  <c r="I136" i="6"/>
  <c r="I82" i="6"/>
  <c r="I137" i="6"/>
  <c r="I138" i="6"/>
  <c r="I139" i="6"/>
  <c r="I140" i="6"/>
  <c r="I141" i="6"/>
  <c r="J136" i="6"/>
  <c r="J137" i="6"/>
  <c r="J138" i="6"/>
  <c r="J139" i="6"/>
  <c r="J140" i="6"/>
  <c r="J147" i="6"/>
  <c r="J146" i="6"/>
  <c r="J149" i="6"/>
  <c r="J153" i="6"/>
  <c r="I87" i="6"/>
  <c r="H89" i="6"/>
  <c r="I90" i="6"/>
  <c r="I91" i="6"/>
  <c r="I99" i="6"/>
  <c r="I100" i="6"/>
  <c r="I145" i="6"/>
  <c r="I110" i="6"/>
  <c r="I125" i="6"/>
  <c r="I129" i="6"/>
  <c r="I127" i="6"/>
  <c r="I130" i="6"/>
  <c r="I148" i="6"/>
  <c r="I147" i="6"/>
  <c r="I143" i="6"/>
  <c r="I146" i="6"/>
  <c r="I149" i="6"/>
  <c r="I153" i="6"/>
  <c r="F147" i="6"/>
  <c r="F87" i="6"/>
  <c r="G87" i="6"/>
  <c r="F89" i="6"/>
  <c r="E89" i="6"/>
  <c r="F90" i="6"/>
  <c r="F91" i="6"/>
  <c r="F99" i="6"/>
  <c r="F100" i="6"/>
  <c r="F110" i="6"/>
  <c r="F125" i="6"/>
  <c r="F129" i="6"/>
  <c r="F127" i="6"/>
  <c r="F130" i="6"/>
  <c r="F148" i="6"/>
  <c r="F143" i="6"/>
  <c r="F145" i="6"/>
  <c r="F146" i="6"/>
  <c r="F149" i="6"/>
  <c r="F153" i="6"/>
  <c r="E147" i="6"/>
  <c r="E87" i="6"/>
  <c r="D89" i="6"/>
  <c r="E90" i="6"/>
  <c r="E91" i="6"/>
  <c r="E99" i="6"/>
  <c r="E100" i="6"/>
  <c r="E110" i="6"/>
  <c r="E125" i="6"/>
  <c r="E129" i="6"/>
  <c r="E127" i="6"/>
  <c r="E130" i="6"/>
  <c r="E148" i="6"/>
  <c r="E143" i="6"/>
  <c r="E145" i="6"/>
  <c r="E146" i="6"/>
  <c r="E149" i="6"/>
  <c r="E153" i="6"/>
  <c r="D143" i="6"/>
  <c r="D87" i="6"/>
  <c r="D90" i="6"/>
  <c r="D91" i="6"/>
  <c r="D99" i="6"/>
  <c r="D100" i="6"/>
  <c r="D145" i="6"/>
  <c r="D110" i="6"/>
  <c r="D146" i="6"/>
  <c r="D147" i="6"/>
  <c r="D125" i="6"/>
  <c r="D127" i="6"/>
  <c r="D129" i="6"/>
  <c r="D130" i="6"/>
  <c r="D148" i="6"/>
  <c r="D149" i="6"/>
  <c r="D153" i="6"/>
  <c r="D154" i="6"/>
  <c r="D157" i="6"/>
  <c r="E152" i="6"/>
  <c r="E154" i="6"/>
  <c r="E157" i="6"/>
  <c r="F152" i="6"/>
  <c r="F154" i="6"/>
  <c r="F157" i="6"/>
  <c r="G152" i="6"/>
  <c r="G147" i="6"/>
  <c r="H87" i="6"/>
  <c r="G89" i="6"/>
  <c r="G90" i="6"/>
  <c r="G91" i="6"/>
  <c r="G99" i="6"/>
  <c r="G100" i="6"/>
  <c r="G110" i="6"/>
  <c r="G125" i="6"/>
  <c r="G129" i="6"/>
  <c r="G127" i="6"/>
  <c r="G130" i="6"/>
  <c r="G148" i="6"/>
  <c r="G143" i="6"/>
  <c r="G145" i="6"/>
  <c r="G146" i="6"/>
  <c r="G149" i="6"/>
  <c r="G153" i="6"/>
  <c r="G154" i="6"/>
  <c r="G157" i="6"/>
  <c r="H152" i="6"/>
  <c r="H147" i="6"/>
  <c r="H90" i="6"/>
  <c r="H91" i="6"/>
  <c r="H99" i="6"/>
  <c r="H100" i="6"/>
  <c r="H110" i="6"/>
  <c r="H125" i="6"/>
  <c r="H129" i="6"/>
  <c r="H127" i="6"/>
  <c r="H130" i="6"/>
  <c r="H148" i="6"/>
  <c r="H143" i="6"/>
  <c r="H145" i="6"/>
  <c r="H146" i="6"/>
  <c r="H149" i="6"/>
  <c r="H153" i="6"/>
  <c r="H154" i="6"/>
  <c r="H157" i="6"/>
  <c r="I152" i="6"/>
  <c r="I154" i="6"/>
  <c r="I157" i="6"/>
  <c r="J152" i="6"/>
  <c r="J154" i="6"/>
  <c r="E155" i="6"/>
  <c r="F155" i="6"/>
  <c r="G155" i="6"/>
  <c r="H155" i="6"/>
  <c r="I155" i="6"/>
  <c r="J155" i="6"/>
  <c r="J156" i="6"/>
  <c r="J159" i="6"/>
  <c r="J167" i="6"/>
  <c r="J164" i="6"/>
  <c r="J165" i="6"/>
  <c r="J168" i="6"/>
  <c r="K164" i="6"/>
  <c r="L87" i="6"/>
  <c r="K88" i="6"/>
  <c r="K89" i="6"/>
  <c r="K90" i="6"/>
  <c r="K91" i="6"/>
  <c r="K95" i="6"/>
  <c r="K96" i="6"/>
  <c r="K97" i="6"/>
  <c r="K98" i="6"/>
  <c r="K99" i="6"/>
  <c r="K100" i="6"/>
  <c r="K114" i="6"/>
  <c r="K115" i="6"/>
  <c r="K116" i="6"/>
  <c r="K104" i="6"/>
  <c r="K105" i="6"/>
  <c r="K106" i="6"/>
  <c r="K107" i="6"/>
  <c r="K108" i="6"/>
  <c r="K109" i="6"/>
  <c r="K110" i="6"/>
  <c r="K118" i="6"/>
  <c r="K166" i="6"/>
  <c r="K124" i="6"/>
  <c r="K125" i="6"/>
  <c r="K127" i="6"/>
  <c r="K82" i="6"/>
  <c r="K129" i="6"/>
  <c r="K130" i="6"/>
  <c r="J157" i="6"/>
  <c r="K152" i="6"/>
  <c r="K143" i="6"/>
  <c r="K145" i="6"/>
  <c r="K148" i="6"/>
  <c r="J141" i="6"/>
  <c r="K136" i="6"/>
  <c r="K137" i="6"/>
  <c r="K138" i="6"/>
  <c r="K139" i="6"/>
  <c r="K140" i="6"/>
  <c r="K147" i="6"/>
  <c r="K146" i="6"/>
  <c r="K149" i="6"/>
  <c r="K153" i="6"/>
  <c r="K154" i="6"/>
  <c r="K155" i="6"/>
  <c r="K156" i="6"/>
  <c r="K159" i="6"/>
  <c r="K167" i="6"/>
  <c r="K165" i="6"/>
  <c r="K168" i="6"/>
  <c r="L164" i="6"/>
  <c r="M87" i="6"/>
  <c r="L88" i="6"/>
  <c r="L89" i="6"/>
  <c r="L90" i="6"/>
  <c r="L91" i="6"/>
  <c r="L95" i="6"/>
  <c r="L96" i="6"/>
  <c r="L97" i="6"/>
  <c r="L98" i="6"/>
  <c r="L99" i="6"/>
  <c r="L100" i="6"/>
  <c r="L114" i="6"/>
  <c r="L115" i="6"/>
  <c r="L116" i="6"/>
  <c r="L104" i="6"/>
  <c r="L105" i="6"/>
  <c r="L106" i="6"/>
  <c r="L107" i="6"/>
  <c r="L108" i="6"/>
  <c r="L109" i="6"/>
  <c r="L110" i="6"/>
  <c r="L118" i="6"/>
  <c r="L166" i="6"/>
  <c r="L124" i="6"/>
  <c r="L125" i="6"/>
  <c r="L127" i="6"/>
  <c r="L82" i="6"/>
  <c r="L129" i="6"/>
  <c r="L130" i="6"/>
  <c r="K157" i="6"/>
  <c r="L152" i="6"/>
  <c r="L143" i="6"/>
  <c r="L145" i="6"/>
  <c r="L148" i="6"/>
  <c r="K141" i="6"/>
  <c r="L136" i="6"/>
  <c r="L137" i="6"/>
  <c r="L138" i="6"/>
  <c r="L139" i="6"/>
  <c r="L140" i="6"/>
  <c r="L147" i="6"/>
  <c r="L146" i="6"/>
  <c r="L149" i="6"/>
  <c r="L153" i="6"/>
  <c r="L154" i="6"/>
  <c r="L155" i="6"/>
  <c r="L156" i="6"/>
  <c r="L159" i="6"/>
  <c r="L167" i="6"/>
  <c r="L165" i="6"/>
  <c r="L168" i="6"/>
  <c r="M164" i="6"/>
  <c r="N87" i="6"/>
  <c r="M88" i="6"/>
  <c r="M89" i="6"/>
  <c r="M90" i="6"/>
  <c r="M91" i="6"/>
  <c r="M95" i="6"/>
  <c r="M96" i="6"/>
  <c r="M97" i="6"/>
  <c r="M98" i="6"/>
  <c r="M99" i="6"/>
  <c r="M100" i="6"/>
  <c r="M114" i="6"/>
  <c r="M115" i="6"/>
  <c r="M116" i="6"/>
  <c r="M104" i="6"/>
  <c r="M105" i="6"/>
  <c r="M106" i="6"/>
  <c r="M107" i="6"/>
  <c r="M108" i="6"/>
  <c r="M109" i="6"/>
  <c r="M110" i="6"/>
  <c r="M118" i="6"/>
  <c r="M166" i="6"/>
  <c r="M124" i="6"/>
  <c r="M125" i="6"/>
  <c r="M127" i="6"/>
  <c r="M82" i="6"/>
  <c r="M129" i="6"/>
  <c r="M130" i="6"/>
  <c r="L157" i="6"/>
  <c r="M152" i="6"/>
  <c r="M143" i="6"/>
  <c r="M145" i="6"/>
  <c r="M148" i="6"/>
  <c r="L141" i="6"/>
  <c r="M136" i="6"/>
  <c r="M137" i="6"/>
  <c r="M138" i="6"/>
  <c r="M139" i="6"/>
  <c r="M140" i="6"/>
  <c r="M147" i="6"/>
  <c r="M146" i="6"/>
  <c r="M149" i="6"/>
  <c r="M153" i="6"/>
  <c r="M154" i="6"/>
  <c r="M155" i="6"/>
  <c r="M156" i="6"/>
  <c r="M159" i="6"/>
  <c r="M167" i="6"/>
  <c r="M165" i="6"/>
  <c r="M168" i="6"/>
  <c r="N164" i="6"/>
  <c r="O87" i="6"/>
  <c r="N88" i="6"/>
  <c r="N89" i="6"/>
  <c r="N90" i="6"/>
  <c r="N91" i="6"/>
  <c r="N95" i="6"/>
  <c r="N96" i="6"/>
  <c r="N97" i="6"/>
  <c r="N98" i="6"/>
  <c r="N99" i="6"/>
  <c r="N100" i="6"/>
  <c r="N114" i="6"/>
  <c r="N115" i="6"/>
  <c r="N116" i="6"/>
  <c r="N104" i="6"/>
  <c r="N105" i="6"/>
  <c r="N106" i="6"/>
  <c r="N107" i="6"/>
  <c r="N108" i="6"/>
  <c r="N109" i="6"/>
  <c r="N110" i="6"/>
  <c r="N118" i="6"/>
  <c r="N166" i="6"/>
  <c r="N124" i="6"/>
  <c r="N125" i="6"/>
  <c r="N127" i="6"/>
  <c r="N82" i="6"/>
  <c r="N129" i="6"/>
  <c r="N130" i="6"/>
  <c r="M157" i="6"/>
  <c r="N152" i="6"/>
  <c r="N143" i="6"/>
  <c r="N145" i="6"/>
  <c r="N148" i="6"/>
  <c r="M141" i="6"/>
  <c r="N136" i="6"/>
  <c r="N137" i="6"/>
  <c r="N138" i="6"/>
  <c r="N139" i="6"/>
  <c r="N140" i="6"/>
  <c r="N147" i="6"/>
  <c r="N146" i="6"/>
  <c r="N149" i="6"/>
  <c r="N153" i="6"/>
  <c r="N154" i="6"/>
  <c r="N155" i="6"/>
  <c r="N156" i="6"/>
  <c r="N159" i="6"/>
  <c r="N167" i="6"/>
  <c r="N165" i="6"/>
  <c r="N168" i="6"/>
  <c r="O164" i="6"/>
  <c r="P87" i="6"/>
  <c r="O88" i="6"/>
  <c r="O89" i="6"/>
  <c r="O90" i="6"/>
  <c r="O91" i="6"/>
  <c r="O95" i="6"/>
  <c r="O96" i="6"/>
  <c r="O97" i="6"/>
  <c r="O98" i="6"/>
  <c r="O99" i="6"/>
  <c r="O100" i="6"/>
  <c r="O114" i="6"/>
  <c r="O115" i="6"/>
  <c r="O116" i="6"/>
  <c r="O104" i="6"/>
  <c r="O105" i="6"/>
  <c r="O106" i="6"/>
  <c r="O107" i="6"/>
  <c r="O108" i="6"/>
  <c r="O109" i="6"/>
  <c r="O110" i="6"/>
  <c r="O118" i="6"/>
  <c r="O166" i="6"/>
  <c r="O124" i="6"/>
  <c r="O125" i="6"/>
  <c r="O127" i="6"/>
  <c r="O82" i="6"/>
  <c r="O129" i="6"/>
  <c r="O130" i="6"/>
  <c r="N157" i="6"/>
  <c r="O152" i="6"/>
  <c r="O143" i="6"/>
  <c r="O145" i="6"/>
  <c r="O148" i="6"/>
  <c r="N141" i="6"/>
  <c r="O136" i="6"/>
  <c r="O137" i="6"/>
  <c r="O138" i="6"/>
  <c r="O139" i="6"/>
  <c r="O140" i="6"/>
  <c r="O147" i="6"/>
  <c r="O146" i="6"/>
  <c r="O149" i="6"/>
  <c r="O153" i="6"/>
  <c r="O154" i="6"/>
  <c r="O155" i="6"/>
  <c r="O156" i="6"/>
  <c r="O159" i="6"/>
  <c r="O167" i="6"/>
  <c r="O165" i="6"/>
  <c r="O168" i="6"/>
  <c r="P164" i="6"/>
  <c r="Q87" i="6"/>
  <c r="P88" i="6"/>
  <c r="P89" i="6"/>
  <c r="P90" i="6"/>
  <c r="P91" i="6"/>
  <c r="P95" i="6"/>
  <c r="P96" i="6"/>
  <c r="P97" i="6"/>
  <c r="P98" i="6"/>
  <c r="P99" i="6"/>
  <c r="P100" i="6"/>
  <c r="P114" i="6"/>
  <c r="P115" i="6"/>
  <c r="P116" i="6"/>
  <c r="P104" i="6"/>
  <c r="P105" i="6"/>
  <c r="P106" i="6"/>
  <c r="P107" i="6"/>
  <c r="P108" i="6"/>
  <c r="P109" i="6"/>
  <c r="P110" i="6"/>
  <c r="P118" i="6"/>
  <c r="P166" i="6"/>
  <c r="P124" i="6"/>
  <c r="P125" i="6"/>
  <c r="P127" i="6"/>
  <c r="P82" i="6"/>
  <c r="P129" i="6"/>
  <c r="P130" i="6"/>
  <c r="O157" i="6"/>
  <c r="P152" i="6"/>
  <c r="P143" i="6"/>
  <c r="P145" i="6"/>
  <c r="P148" i="6"/>
  <c r="O141" i="6"/>
  <c r="P136" i="6"/>
  <c r="P137" i="6"/>
  <c r="P138" i="6"/>
  <c r="P139" i="6"/>
  <c r="P140" i="6"/>
  <c r="P147" i="6"/>
  <c r="P146" i="6"/>
  <c r="P149" i="6"/>
  <c r="P153" i="6"/>
  <c r="P154" i="6"/>
  <c r="P155" i="6"/>
  <c r="P156" i="6"/>
  <c r="P159" i="6"/>
  <c r="P167" i="6"/>
  <c r="P165" i="6"/>
  <c r="P168" i="6"/>
  <c r="Q164" i="6"/>
  <c r="R87" i="6"/>
  <c r="Q88" i="6"/>
  <c r="Q89" i="6"/>
  <c r="Q90" i="6"/>
  <c r="Q91" i="6"/>
  <c r="Q95" i="6"/>
  <c r="Q96" i="6"/>
  <c r="Q97" i="6"/>
  <c r="Q98" i="6"/>
  <c r="Q99" i="6"/>
  <c r="Q100" i="6"/>
  <c r="Q114" i="6"/>
  <c r="Q115" i="6"/>
  <c r="Q116" i="6"/>
  <c r="Q104" i="6"/>
  <c r="Q105" i="6"/>
  <c r="Q106" i="6"/>
  <c r="Q107" i="6"/>
  <c r="Q108" i="6"/>
  <c r="Q109" i="6"/>
  <c r="Q110" i="6"/>
  <c r="Q118" i="6"/>
  <c r="Q166" i="6"/>
  <c r="Q124" i="6"/>
  <c r="Q125" i="6"/>
  <c r="Q127" i="6"/>
  <c r="Q82" i="6"/>
  <c r="Q129" i="6"/>
  <c r="Q130" i="6"/>
  <c r="P157" i="6"/>
  <c r="Q152" i="6"/>
  <c r="Q143" i="6"/>
  <c r="Q145" i="6"/>
  <c r="Q148" i="6"/>
  <c r="P141" i="6"/>
  <c r="Q136" i="6"/>
  <c r="Q137" i="6"/>
  <c r="Q138" i="6"/>
  <c r="Q139" i="6"/>
  <c r="Q140" i="6"/>
  <c r="Q147" i="6"/>
  <c r="Q146" i="6"/>
  <c r="Q149" i="6"/>
  <c r="Q153" i="6"/>
  <c r="Q154" i="6"/>
  <c r="Q155" i="6"/>
  <c r="Q156" i="6"/>
  <c r="Q159" i="6"/>
  <c r="Q167" i="6"/>
  <c r="Q165" i="6"/>
  <c r="Q168" i="6"/>
  <c r="R164" i="6"/>
  <c r="S87" i="6"/>
  <c r="R88" i="6"/>
  <c r="R89" i="6"/>
  <c r="R90" i="6"/>
  <c r="R91" i="6"/>
  <c r="R95" i="6"/>
  <c r="R96" i="6"/>
  <c r="R97" i="6"/>
  <c r="R98" i="6"/>
  <c r="R99" i="6"/>
  <c r="R100" i="6"/>
  <c r="R114" i="6"/>
  <c r="R115" i="6"/>
  <c r="R116" i="6"/>
  <c r="R104" i="6"/>
  <c r="R105" i="6"/>
  <c r="R106" i="6"/>
  <c r="R107" i="6"/>
  <c r="R108" i="6"/>
  <c r="R109" i="6"/>
  <c r="R110" i="6"/>
  <c r="R118" i="6"/>
  <c r="R166" i="6"/>
  <c r="R124" i="6"/>
  <c r="R125" i="6"/>
  <c r="R127" i="6"/>
  <c r="R82" i="6"/>
  <c r="R129" i="6"/>
  <c r="R130" i="6"/>
  <c r="Q157" i="6"/>
  <c r="R152" i="6"/>
  <c r="R143" i="6"/>
  <c r="R145" i="6"/>
  <c r="R148" i="6"/>
  <c r="Q141" i="6"/>
  <c r="R136" i="6"/>
  <c r="R137" i="6"/>
  <c r="R138" i="6"/>
  <c r="R139" i="6"/>
  <c r="R140" i="6"/>
  <c r="R147" i="6"/>
  <c r="R146" i="6"/>
  <c r="R149" i="6"/>
  <c r="R153" i="6"/>
  <c r="R154" i="6"/>
  <c r="R155" i="6"/>
  <c r="R156" i="6"/>
  <c r="R159" i="6"/>
  <c r="R167" i="6"/>
  <c r="R165" i="6"/>
  <c r="R168" i="6"/>
  <c r="S164" i="6"/>
  <c r="T87" i="6"/>
  <c r="S88" i="6"/>
  <c r="S89" i="6"/>
  <c r="S90" i="6"/>
  <c r="S91" i="6"/>
  <c r="S95" i="6"/>
  <c r="S96" i="6"/>
  <c r="S97" i="6"/>
  <c r="S98" i="6"/>
  <c r="S99" i="6"/>
  <c r="S100" i="6"/>
  <c r="S114" i="6"/>
  <c r="S115" i="6"/>
  <c r="S116" i="6"/>
  <c r="S104" i="6"/>
  <c r="S105" i="6"/>
  <c r="S106" i="6"/>
  <c r="S107" i="6"/>
  <c r="S108" i="6"/>
  <c r="S109" i="6"/>
  <c r="S110" i="6"/>
  <c r="S118" i="6"/>
  <c r="S166" i="6"/>
  <c r="S124" i="6"/>
  <c r="S125" i="6"/>
  <c r="S127" i="6"/>
  <c r="S82" i="6"/>
  <c r="S129" i="6"/>
  <c r="S130" i="6"/>
  <c r="R157" i="6"/>
  <c r="S152" i="6"/>
  <c r="S143" i="6"/>
  <c r="S145" i="6"/>
  <c r="S148" i="6"/>
  <c r="R141" i="6"/>
  <c r="S136" i="6"/>
  <c r="S137" i="6"/>
  <c r="S138" i="6"/>
  <c r="S139" i="6"/>
  <c r="S140" i="6"/>
  <c r="S147" i="6"/>
  <c r="S146" i="6"/>
  <c r="S149" i="6"/>
  <c r="S153" i="6"/>
  <c r="S154" i="6"/>
  <c r="S155" i="6"/>
  <c r="S156" i="6"/>
  <c r="S159" i="6"/>
  <c r="S167" i="6"/>
  <c r="S165" i="6"/>
  <c r="S168" i="6"/>
  <c r="T164" i="6"/>
  <c r="U87" i="6"/>
  <c r="T88" i="6"/>
  <c r="T89" i="6"/>
  <c r="T90" i="6"/>
  <c r="T91" i="6"/>
  <c r="T95" i="6"/>
  <c r="T96" i="6"/>
  <c r="T97" i="6"/>
  <c r="T98" i="6"/>
  <c r="T99" i="6"/>
  <c r="T100" i="6"/>
  <c r="T114" i="6"/>
  <c r="T115" i="6"/>
  <c r="T116" i="6"/>
  <c r="T104" i="6"/>
  <c r="T105" i="6"/>
  <c r="T106" i="6"/>
  <c r="T107" i="6"/>
  <c r="T108" i="6"/>
  <c r="T109" i="6"/>
  <c r="T110" i="6"/>
  <c r="T118" i="6"/>
  <c r="T166" i="6"/>
  <c r="T124" i="6"/>
  <c r="T125" i="6"/>
  <c r="T127" i="6"/>
  <c r="T82" i="6"/>
  <c r="T129" i="6"/>
  <c r="T130" i="6"/>
  <c r="S157" i="6"/>
  <c r="T152" i="6"/>
  <c r="T143" i="6"/>
  <c r="T145" i="6"/>
  <c r="T148" i="6"/>
  <c r="S141" i="6"/>
  <c r="T136" i="6"/>
  <c r="T137" i="6"/>
  <c r="T138" i="6"/>
  <c r="T139" i="6"/>
  <c r="T140" i="6"/>
  <c r="T147" i="6"/>
  <c r="T146" i="6"/>
  <c r="T149" i="6"/>
  <c r="T153" i="6"/>
  <c r="T154" i="6"/>
  <c r="T155" i="6"/>
  <c r="T156" i="6"/>
  <c r="T159" i="6"/>
  <c r="T167" i="6"/>
  <c r="T165" i="6"/>
  <c r="T168" i="6"/>
  <c r="U164" i="6"/>
  <c r="V87" i="6"/>
  <c r="U88" i="6"/>
  <c r="U89" i="6"/>
  <c r="U90" i="6"/>
  <c r="U91" i="6"/>
  <c r="U95" i="6"/>
  <c r="U96" i="6"/>
  <c r="U97" i="6"/>
  <c r="U98" i="6"/>
  <c r="U99" i="6"/>
  <c r="U100" i="6"/>
  <c r="U114" i="6"/>
  <c r="U115" i="6"/>
  <c r="U116" i="6"/>
  <c r="U104" i="6"/>
  <c r="U105" i="6"/>
  <c r="U106" i="6"/>
  <c r="U107" i="6"/>
  <c r="U108" i="6"/>
  <c r="U109" i="6"/>
  <c r="U110" i="6"/>
  <c r="U118" i="6"/>
  <c r="U166" i="6"/>
  <c r="U124" i="6"/>
  <c r="U125" i="6"/>
  <c r="U127" i="6"/>
  <c r="U82" i="6"/>
  <c r="U129" i="6"/>
  <c r="U130" i="6"/>
  <c r="T157" i="6"/>
  <c r="U152" i="6"/>
  <c r="U143" i="6"/>
  <c r="U145" i="6"/>
  <c r="U148" i="6"/>
  <c r="T141" i="6"/>
  <c r="U136" i="6"/>
  <c r="U137" i="6"/>
  <c r="U138" i="6"/>
  <c r="U139" i="6"/>
  <c r="U140" i="6"/>
  <c r="U147" i="6"/>
  <c r="U146" i="6"/>
  <c r="U149" i="6"/>
  <c r="U153" i="6"/>
  <c r="U154" i="6"/>
  <c r="U155" i="6"/>
  <c r="U156" i="6"/>
  <c r="U159" i="6"/>
  <c r="U167" i="6"/>
  <c r="U165" i="6"/>
  <c r="U168" i="6"/>
  <c r="V164" i="6"/>
  <c r="W87" i="6"/>
  <c r="V88" i="6"/>
  <c r="V89" i="6"/>
  <c r="V90" i="6"/>
  <c r="V91" i="6"/>
  <c r="V95" i="6"/>
  <c r="V96" i="6"/>
  <c r="V97" i="6"/>
  <c r="V98" i="6"/>
  <c r="V99" i="6"/>
  <c r="V100" i="6"/>
  <c r="V114" i="6"/>
  <c r="V115" i="6"/>
  <c r="V116" i="6"/>
  <c r="V104" i="6"/>
  <c r="V105" i="6"/>
  <c r="V106" i="6"/>
  <c r="V107" i="6"/>
  <c r="V108" i="6"/>
  <c r="V109" i="6"/>
  <c r="V110" i="6"/>
  <c r="V118" i="6"/>
  <c r="V166" i="6"/>
  <c r="V124" i="6"/>
  <c r="V125" i="6"/>
  <c r="V127" i="6"/>
  <c r="V82" i="6"/>
  <c r="V129" i="6"/>
  <c r="V130" i="6"/>
  <c r="U157" i="6"/>
  <c r="V152" i="6"/>
  <c r="V143" i="6"/>
  <c r="V145" i="6"/>
  <c r="V148" i="6"/>
  <c r="U141" i="6"/>
  <c r="V136" i="6"/>
  <c r="V137" i="6"/>
  <c r="V138" i="6"/>
  <c r="V139" i="6"/>
  <c r="V140" i="6"/>
  <c r="V147" i="6"/>
  <c r="V146" i="6"/>
  <c r="V149" i="6"/>
  <c r="V153" i="6"/>
  <c r="V154" i="6"/>
  <c r="V155" i="6"/>
  <c r="V156" i="6"/>
  <c r="V159" i="6"/>
  <c r="V167" i="6"/>
  <c r="V165" i="6"/>
  <c r="V168" i="6"/>
  <c r="W164" i="6"/>
  <c r="X87" i="6"/>
  <c r="W88" i="6"/>
  <c r="W89" i="6"/>
  <c r="W90" i="6"/>
  <c r="W91" i="6"/>
  <c r="W95" i="6"/>
  <c r="W96" i="6"/>
  <c r="W97" i="6"/>
  <c r="W98" i="6"/>
  <c r="W99" i="6"/>
  <c r="W100" i="6"/>
  <c r="W114" i="6"/>
  <c r="W115" i="6"/>
  <c r="W116" i="6"/>
  <c r="W104" i="6"/>
  <c r="W105" i="6"/>
  <c r="W106" i="6"/>
  <c r="W107" i="6"/>
  <c r="W108" i="6"/>
  <c r="W109" i="6"/>
  <c r="W110" i="6"/>
  <c r="W118" i="6"/>
  <c r="W166" i="6"/>
  <c r="W124" i="6"/>
  <c r="W125" i="6"/>
  <c r="W127" i="6"/>
  <c r="W82" i="6"/>
  <c r="W129" i="6"/>
  <c r="W130" i="6"/>
  <c r="V157" i="6"/>
  <c r="W152" i="6"/>
  <c r="W143" i="6"/>
  <c r="W145" i="6"/>
  <c r="W148" i="6"/>
  <c r="V141" i="6"/>
  <c r="W136" i="6"/>
  <c r="W137" i="6"/>
  <c r="W138" i="6"/>
  <c r="W139" i="6"/>
  <c r="W140" i="6"/>
  <c r="W147" i="6"/>
  <c r="W146" i="6"/>
  <c r="W149" i="6"/>
  <c r="W153" i="6"/>
  <c r="W154" i="6"/>
  <c r="W155" i="6"/>
  <c r="W156" i="6"/>
  <c r="W159" i="6"/>
  <c r="W167" i="6"/>
  <c r="W165" i="6"/>
  <c r="W168" i="6"/>
  <c r="X164" i="6"/>
  <c r="Y87" i="6"/>
  <c r="X88" i="6"/>
  <c r="X89" i="6"/>
  <c r="X90" i="6"/>
  <c r="X91" i="6"/>
  <c r="X95" i="6"/>
  <c r="X96" i="6"/>
  <c r="X97" i="6"/>
  <c r="X98" i="6"/>
  <c r="X99" i="6"/>
  <c r="X100" i="6"/>
  <c r="X114" i="6"/>
  <c r="X115" i="6"/>
  <c r="X116" i="6"/>
  <c r="X104" i="6"/>
  <c r="X105" i="6"/>
  <c r="X106" i="6"/>
  <c r="X107" i="6"/>
  <c r="X108" i="6"/>
  <c r="X109" i="6"/>
  <c r="X110" i="6"/>
  <c r="X118" i="6"/>
  <c r="X166" i="6"/>
  <c r="X124" i="6"/>
  <c r="X125" i="6"/>
  <c r="X127" i="6"/>
  <c r="X82" i="6"/>
  <c r="X129" i="6"/>
  <c r="X130" i="6"/>
  <c r="W157" i="6"/>
  <c r="X152" i="6"/>
  <c r="X143" i="6"/>
  <c r="X145" i="6"/>
  <c r="X148" i="6"/>
  <c r="W141" i="6"/>
  <c r="X136" i="6"/>
  <c r="X137" i="6"/>
  <c r="X138" i="6"/>
  <c r="X139" i="6"/>
  <c r="X140" i="6"/>
  <c r="X147" i="6"/>
  <c r="X146" i="6"/>
  <c r="X149" i="6"/>
  <c r="X153" i="6"/>
  <c r="X154" i="6"/>
  <c r="X155" i="6"/>
  <c r="X156" i="6"/>
  <c r="X159" i="6"/>
  <c r="X167" i="6"/>
  <c r="X165" i="6"/>
  <c r="X168" i="6"/>
  <c r="Y164" i="6"/>
  <c r="Z87" i="6"/>
  <c r="Y88" i="6"/>
  <c r="Y89" i="6"/>
  <c r="Y90" i="6"/>
  <c r="Y91" i="6"/>
  <c r="Y95" i="6"/>
  <c r="Y96" i="6"/>
  <c r="Y97" i="6"/>
  <c r="Y98" i="6"/>
  <c r="Y99" i="6"/>
  <c r="Y100" i="6"/>
  <c r="Y114" i="6"/>
  <c r="Y115" i="6"/>
  <c r="Y116" i="6"/>
  <c r="Y104" i="6"/>
  <c r="Y105" i="6"/>
  <c r="Y106" i="6"/>
  <c r="Y107" i="6"/>
  <c r="Y108" i="6"/>
  <c r="Y109" i="6"/>
  <c r="Y110" i="6"/>
  <c r="Y118" i="6"/>
  <c r="Y166" i="6"/>
  <c r="Y124" i="6"/>
  <c r="Y125" i="6"/>
  <c r="Y127" i="6"/>
  <c r="Y82" i="6"/>
  <c r="Y129" i="6"/>
  <c r="Y130" i="6"/>
  <c r="X157" i="6"/>
  <c r="Y152" i="6"/>
  <c r="Y143" i="6"/>
  <c r="Y145" i="6"/>
  <c r="Y148" i="6"/>
  <c r="X141" i="6"/>
  <c r="Y136" i="6"/>
  <c r="Y137" i="6"/>
  <c r="Y138" i="6"/>
  <c r="Y139" i="6"/>
  <c r="Y140" i="6"/>
  <c r="Y147" i="6"/>
  <c r="Y146" i="6"/>
  <c r="Y149" i="6"/>
  <c r="Y153" i="6"/>
  <c r="Y154" i="6"/>
  <c r="Y155" i="6"/>
  <c r="Y156" i="6"/>
  <c r="Y159" i="6"/>
  <c r="Y167" i="6"/>
  <c r="Y165" i="6"/>
  <c r="Y168" i="6"/>
  <c r="Z164" i="6"/>
  <c r="AA87" i="6"/>
  <c r="Z88" i="6"/>
  <c r="Z89" i="6"/>
  <c r="Z90" i="6"/>
  <c r="Z91" i="6"/>
  <c r="Z95" i="6"/>
  <c r="Z96" i="6"/>
  <c r="Z97" i="6"/>
  <c r="Z98" i="6"/>
  <c r="Z99" i="6"/>
  <c r="Z100" i="6"/>
  <c r="Z114" i="6"/>
  <c r="Z115" i="6"/>
  <c r="Z116" i="6"/>
  <c r="Z104" i="6"/>
  <c r="Z105" i="6"/>
  <c r="Z106" i="6"/>
  <c r="Z107" i="6"/>
  <c r="Z108" i="6"/>
  <c r="Z109" i="6"/>
  <c r="Z110" i="6"/>
  <c r="Z118" i="6"/>
  <c r="Z166" i="6"/>
  <c r="Z124" i="6"/>
  <c r="Z125" i="6"/>
  <c r="Z127" i="6"/>
  <c r="Z82" i="6"/>
  <c r="Z129" i="6"/>
  <c r="Z130" i="6"/>
  <c r="Y157" i="6"/>
  <c r="Z152" i="6"/>
  <c r="Z143" i="6"/>
  <c r="Z145" i="6"/>
  <c r="Z148" i="6"/>
  <c r="Y141" i="6"/>
  <c r="Z136" i="6"/>
  <c r="Z137" i="6"/>
  <c r="Z138" i="6"/>
  <c r="Z139" i="6"/>
  <c r="Z140" i="6"/>
  <c r="Z147" i="6"/>
  <c r="Z146" i="6"/>
  <c r="Z149" i="6"/>
  <c r="Z153" i="6"/>
  <c r="Z154" i="6"/>
  <c r="Z155" i="6"/>
  <c r="Z156" i="6"/>
  <c r="Z159" i="6"/>
  <c r="Z167" i="6"/>
  <c r="Z165" i="6"/>
  <c r="Z168" i="6"/>
  <c r="AA164" i="6"/>
  <c r="AB87" i="6"/>
  <c r="AA88" i="6"/>
  <c r="AA89" i="6"/>
  <c r="AA90" i="6"/>
  <c r="AA91" i="6"/>
  <c r="AA95" i="6"/>
  <c r="AA96" i="6"/>
  <c r="AA97" i="6"/>
  <c r="AA98" i="6"/>
  <c r="AA99" i="6"/>
  <c r="AA100" i="6"/>
  <c r="AA114" i="6"/>
  <c r="AA115" i="6"/>
  <c r="AA116" i="6"/>
  <c r="AA104" i="6"/>
  <c r="AA105" i="6"/>
  <c r="AA106" i="6"/>
  <c r="AA107" i="6"/>
  <c r="AA108" i="6"/>
  <c r="AA109" i="6"/>
  <c r="AA110" i="6"/>
  <c r="AA118" i="6"/>
  <c r="AA166" i="6"/>
  <c r="AA124" i="6"/>
  <c r="AA125" i="6"/>
  <c r="AA127" i="6"/>
  <c r="AA82" i="6"/>
  <c r="AA129" i="6"/>
  <c r="AA130" i="6"/>
  <c r="Z157" i="6"/>
  <c r="AA152" i="6"/>
  <c r="AA143" i="6"/>
  <c r="AA145" i="6"/>
  <c r="AA148" i="6"/>
  <c r="Z141" i="6"/>
  <c r="AA136" i="6"/>
  <c r="AA137" i="6"/>
  <c r="AA138" i="6"/>
  <c r="AA139" i="6"/>
  <c r="AA140" i="6"/>
  <c r="AA147" i="6"/>
  <c r="AA146" i="6"/>
  <c r="AA149" i="6"/>
  <c r="AA153" i="6"/>
  <c r="AA154" i="6"/>
  <c r="AA155" i="6"/>
  <c r="AA156" i="6"/>
  <c r="AA159" i="6"/>
  <c r="AA167" i="6"/>
  <c r="AA165" i="6"/>
  <c r="AA168" i="6"/>
  <c r="AB164" i="6"/>
  <c r="AC87" i="6"/>
  <c r="AB88" i="6"/>
  <c r="AB89" i="6"/>
  <c r="AB90" i="6"/>
  <c r="AB91" i="6"/>
  <c r="AB95" i="6"/>
  <c r="AB96" i="6"/>
  <c r="AB97" i="6"/>
  <c r="AB98" i="6"/>
  <c r="AB99" i="6"/>
  <c r="AB100" i="6"/>
  <c r="AB114" i="6"/>
  <c r="AB115" i="6"/>
  <c r="AB116" i="6"/>
  <c r="AB104" i="6"/>
  <c r="AB105" i="6"/>
  <c r="AB106" i="6"/>
  <c r="AB107" i="6"/>
  <c r="AB108" i="6"/>
  <c r="AB109" i="6"/>
  <c r="AB110" i="6"/>
  <c r="AB118" i="6"/>
  <c r="AB166" i="6"/>
  <c r="AB124" i="6"/>
  <c r="AB125" i="6"/>
  <c r="AB127" i="6"/>
  <c r="AB82" i="6"/>
  <c r="AB129" i="6"/>
  <c r="AB130" i="6"/>
  <c r="AA157" i="6"/>
  <c r="AB152" i="6"/>
  <c r="AB143" i="6"/>
  <c r="AB145" i="6"/>
  <c r="AB148" i="6"/>
  <c r="AA141" i="6"/>
  <c r="AB136" i="6"/>
  <c r="AB137" i="6"/>
  <c r="AB138" i="6"/>
  <c r="AB139" i="6"/>
  <c r="AB140" i="6"/>
  <c r="AB147" i="6"/>
  <c r="AB146" i="6"/>
  <c r="AB149" i="6"/>
  <c r="AB153" i="6"/>
  <c r="AB154" i="6"/>
  <c r="AB155" i="6"/>
  <c r="AB156" i="6"/>
  <c r="AB159" i="6"/>
  <c r="AB167" i="6"/>
  <c r="AB165" i="6"/>
  <c r="AB168" i="6"/>
  <c r="AC164" i="6"/>
  <c r="AD87" i="6"/>
  <c r="AC88" i="6"/>
  <c r="AC89" i="6"/>
  <c r="AC90" i="6"/>
  <c r="AC91" i="6"/>
  <c r="AC95" i="6"/>
  <c r="AC96" i="6"/>
  <c r="AC97" i="6"/>
  <c r="AC98" i="6"/>
  <c r="AC99" i="6"/>
  <c r="AC100" i="6"/>
  <c r="AC114" i="6"/>
  <c r="AC115" i="6"/>
  <c r="AC116" i="6"/>
  <c r="AC104" i="6"/>
  <c r="AC105" i="6"/>
  <c r="AC106" i="6"/>
  <c r="AC107" i="6"/>
  <c r="AC108" i="6"/>
  <c r="AC109" i="6"/>
  <c r="AC110" i="6"/>
  <c r="AC118" i="6"/>
  <c r="AC166" i="6"/>
  <c r="AC124" i="6"/>
  <c r="AC125" i="6"/>
  <c r="AC127" i="6"/>
  <c r="AC82" i="6"/>
  <c r="AC129" i="6"/>
  <c r="AC130" i="6"/>
  <c r="AB157" i="6"/>
  <c r="AC152" i="6"/>
  <c r="AC143" i="6"/>
  <c r="AC145" i="6"/>
  <c r="AC148" i="6"/>
  <c r="AB141" i="6"/>
  <c r="AC136" i="6"/>
  <c r="AC137" i="6"/>
  <c r="AC138" i="6"/>
  <c r="AC139" i="6"/>
  <c r="AC140" i="6"/>
  <c r="AC147" i="6"/>
  <c r="AC146" i="6"/>
  <c r="AC149" i="6"/>
  <c r="AC153" i="6"/>
  <c r="AC154" i="6"/>
  <c r="AC155" i="6"/>
  <c r="AC156" i="6"/>
  <c r="AC159" i="6"/>
  <c r="AC167" i="6"/>
  <c r="AC165" i="6"/>
  <c r="AC168" i="6"/>
  <c r="AD164" i="6"/>
  <c r="AE87" i="6"/>
  <c r="AD88" i="6"/>
  <c r="AD89" i="6"/>
  <c r="AD90" i="6"/>
  <c r="AD91" i="6"/>
  <c r="AD95" i="6"/>
  <c r="AD96" i="6"/>
  <c r="AD97" i="6"/>
  <c r="AD98" i="6"/>
  <c r="AD99" i="6"/>
  <c r="AD100" i="6"/>
  <c r="AD114" i="6"/>
  <c r="AD115" i="6"/>
  <c r="AD116" i="6"/>
  <c r="AD104" i="6"/>
  <c r="AD105" i="6"/>
  <c r="AD106" i="6"/>
  <c r="AD107" i="6"/>
  <c r="AD108" i="6"/>
  <c r="AD109" i="6"/>
  <c r="AD110" i="6"/>
  <c r="AD118" i="6"/>
  <c r="AD166" i="6"/>
  <c r="AD124" i="6"/>
  <c r="AD125" i="6"/>
  <c r="AD127" i="6"/>
  <c r="AD82" i="6"/>
  <c r="AD129" i="6"/>
  <c r="AD130" i="6"/>
  <c r="AC157" i="6"/>
  <c r="AD152" i="6"/>
  <c r="AD143" i="6"/>
  <c r="AD145" i="6"/>
  <c r="AD148" i="6"/>
  <c r="AC141" i="6"/>
  <c r="AD136" i="6"/>
  <c r="AD137" i="6"/>
  <c r="AD138" i="6"/>
  <c r="AD139" i="6"/>
  <c r="AD140" i="6"/>
  <c r="AD147" i="6"/>
  <c r="AD146" i="6"/>
  <c r="AD149" i="6"/>
  <c r="AD153" i="6"/>
  <c r="AD154" i="6"/>
  <c r="AD155" i="6"/>
  <c r="AD156" i="6"/>
  <c r="AD159" i="6"/>
  <c r="AD167" i="6"/>
  <c r="AD165" i="6"/>
  <c r="AD168" i="6"/>
  <c r="H115" i="6"/>
  <c r="I116" i="6"/>
  <c r="I118" i="6"/>
  <c r="I166" i="6"/>
  <c r="I156" i="6"/>
  <c r="I159" i="6"/>
  <c r="I167" i="6"/>
  <c r="I165" i="6"/>
  <c r="I164" i="6"/>
  <c r="I168" i="6"/>
  <c r="D115" i="6"/>
  <c r="D116" i="6"/>
  <c r="D118" i="6"/>
  <c r="D166" i="6"/>
  <c r="D164" i="6"/>
  <c r="D165" i="6"/>
  <c r="D156" i="6"/>
  <c r="D159" i="6"/>
  <c r="D167" i="6"/>
  <c r="D168" i="6"/>
  <c r="E115" i="6"/>
  <c r="E116" i="6"/>
  <c r="E118" i="6"/>
  <c r="E166" i="6"/>
  <c r="E165" i="6"/>
  <c r="E156" i="6"/>
  <c r="E159" i="6"/>
  <c r="E167" i="6"/>
  <c r="E164" i="6"/>
  <c r="E168" i="6"/>
  <c r="F115" i="6"/>
  <c r="F116" i="6"/>
  <c r="F118" i="6"/>
  <c r="F166" i="6"/>
  <c r="F165" i="6"/>
  <c r="F156" i="6"/>
  <c r="F159" i="6"/>
  <c r="F167" i="6"/>
  <c r="F164" i="6"/>
  <c r="F168" i="6"/>
  <c r="G115" i="6"/>
  <c r="G116" i="6"/>
  <c r="G118" i="6"/>
  <c r="G166" i="6"/>
  <c r="G156" i="6"/>
  <c r="G159" i="6"/>
  <c r="G167" i="6"/>
  <c r="G165" i="6"/>
  <c r="G164" i="6"/>
  <c r="G168" i="6"/>
  <c r="H116" i="6"/>
  <c r="H118" i="6"/>
  <c r="H166" i="6"/>
  <c r="H156" i="6"/>
  <c r="H159" i="6"/>
  <c r="H167" i="6"/>
  <c r="H165" i="6"/>
  <c r="H164" i="6"/>
  <c r="H168" i="6"/>
  <c r="C171" i="6"/>
  <c r="C7" i="6"/>
  <c r="A171" i="6"/>
  <c r="A7" i="6"/>
  <c r="M26" i="5"/>
  <c r="L26" i="5"/>
  <c r="K26" i="5"/>
  <c r="J26" i="5"/>
  <c r="I26" i="5"/>
  <c r="H26" i="5"/>
  <c r="G26" i="5"/>
  <c r="F26" i="5"/>
  <c r="E26" i="5"/>
  <c r="D26" i="5"/>
  <c r="AE104" i="6"/>
  <c r="AF104" i="6"/>
  <c r="AG104" i="6"/>
  <c r="AH104" i="6"/>
  <c r="AI104" i="6"/>
  <c r="AJ104" i="6"/>
  <c r="AK104" i="6"/>
  <c r="AL104" i="6"/>
  <c r="AM104" i="6"/>
  <c r="AN104" i="6"/>
  <c r="AO104" i="6"/>
  <c r="AP104" i="6"/>
  <c r="AQ104" i="6"/>
  <c r="AR104" i="6"/>
  <c r="AS104" i="6"/>
  <c r="AT104" i="6"/>
  <c r="AU104" i="6"/>
  <c r="AV104" i="6"/>
  <c r="AW104" i="6"/>
  <c r="AX104" i="6"/>
  <c r="AY104" i="6"/>
  <c r="C104" i="6"/>
  <c r="C26" i="5"/>
  <c r="B26" i="5"/>
  <c r="A26" i="5"/>
  <c r="A20" i="5"/>
  <c r="A31" i="5"/>
  <c r="AE143" i="6"/>
  <c r="AE124" i="6"/>
  <c r="AE125" i="6"/>
  <c r="AE127" i="6"/>
  <c r="AE82" i="6"/>
  <c r="AF87" i="6"/>
  <c r="AE88" i="6"/>
  <c r="AE89" i="6"/>
  <c r="AE90" i="6"/>
  <c r="AE91" i="6"/>
  <c r="AE95" i="6"/>
  <c r="AE96" i="6"/>
  <c r="AE97" i="6"/>
  <c r="AE98" i="6"/>
  <c r="AE99" i="6"/>
  <c r="AE100" i="6"/>
  <c r="AE105" i="6"/>
  <c r="AE106" i="6"/>
  <c r="AE107" i="6"/>
  <c r="AE108" i="6"/>
  <c r="AE109" i="6"/>
  <c r="AE110" i="6"/>
  <c r="AE129" i="6"/>
  <c r="AE130" i="6"/>
  <c r="AE148" i="6"/>
  <c r="AD141" i="6"/>
  <c r="AE136" i="6"/>
  <c r="AE137" i="6"/>
  <c r="AE138" i="6"/>
  <c r="AE139" i="6"/>
  <c r="AE140" i="6"/>
  <c r="AE147" i="6"/>
  <c r="AE145" i="6"/>
  <c r="AE146" i="6"/>
  <c r="AE149" i="6"/>
  <c r="AF143" i="6"/>
  <c r="AF124" i="6"/>
  <c r="AF125" i="6"/>
  <c r="AF127" i="6"/>
  <c r="AF82" i="6"/>
  <c r="AG87" i="6"/>
  <c r="AF88" i="6"/>
  <c r="AF89" i="6"/>
  <c r="AF90" i="6"/>
  <c r="AF91" i="6"/>
  <c r="AF95" i="6"/>
  <c r="AF96" i="6"/>
  <c r="AF97" i="6"/>
  <c r="AF98" i="6"/>
  <c r="AF99" i="6"/>
  <c r="AF100" i="6"/>
  <c r="AF105" i="6"/>
  <c r="AF106" i="6"/>
  <c r="AF107" i="6"/>
  <c r="AF108" i="6"/>
  <c r="AF109" i="6"/>
  <c r="AF110" i="6"/>
  <c r="AF129" i="6"/>
  <c r="AF130" i="6"/>
  <c r="AF148" i="6"/>
  <c r="AE141" i="6"/>
  <c r="AF136" i="6"/>
  <c r="AF137" i="6"/>
  <c r="AF138" i="6"/>
  <c r="AF139" i="6"/>
  <c r="AF140" i="6"/>
  <c r="AF147" i="6"/>
  <c r="AF145" i="6"/>
  <c r="AF146" i="6"/>
  <c r="AF149" i="6"/>
  <c r="AG143" i="6"/>
  <c r="AG124" i="6"/>
  <c r="AG125" i="6"/>
  <c r="AG127" i="6"/>
  <c r="AG82" i="6"/>
  <c r="AH87" i="6"/>
  <c r="AG88" i="6"/>
  <c r="AG89" i="6"/>
  <c r="AG90" i="6"/>
  <c r="AG91" i="6"/>
  <c r="AG95" i="6"/>
  <c r="AG96" i="6"/>
  <c r="AG97" i="6"/>
  <c r="AG98" i="6"/>
  <c r="AG99" i="6"/>
  <c r="AG100" i="6"/>
  <c r="AG105" i="6"/>
  <c r="AG106" i="6"/>
  <c r="AG107" i="6"/>
  <c r="AG108" i="6"/>
  <c r="AG109" i="6"/>
  <c r="AG110" i="6"/>
  <c r="AG129" i="6"/>
  <c r="AG130" i="6"/>
  <c r="AG148" i="6"/>
  <c r="AF141" i="6"/>
  <c r="AG136" i="6"/>
  <c r="AG137" i="6"/>
  <c r="AG138" i="6"/>
  <c r="AG139" i="6"/>
  <c r="AG140" i="6"/>
  <c r="AG147" i="6"/>
  <c r="AG145" i="6"/>
  <c r="AG146" i="6"/>
  <c r="AG149" i="6"/>
  <c r="AH143" i="6"/>
  <c r="AH124" i="6"/>
  <c r="AH125" i="6"/>
  <c r="AH127" i="6"/>
  <c r="AH82" i="6"/>
  <c r="AI87" i="6"/>
  <c r="AH88" i="6"/>
  <c r="AH89" i="6"/>
  <c r="AH90" i="6"/>
  <c r="AH91" i="6"/>
  <c r="AH95" i="6"/>
  <c r="AH96" i="6"/>
  <c r="AH97" i="6"/>
  <c r="AH98" i="6"/>
  <c r="AH99" i="6"/>
  <c r="AH100" i="6"/>
  <c r="AH105" i="6"/>
  <c r="AH106" i="6"/>
  <c r="AH107" i="6"/>
  <c r="AH108" i="6"/>
  <c r="AH109" i="6"/>
  <c r="AH110" i="6"/>
  <c r="AH129" i="6"/>
  <c r="AH130" i="6"/>
  <c r="AH148" i="6"/>
  <c r="AG141" i="6"/>
  <c r="AH136" i="6"/>
  <c r="AH137" i="6"/>
  <c r="AH138" i="6"/>
  <c r="AH139" i="6"/>
  <c r="AH140" i="6"/>
  <c r="AH147" i="6"/>
  <c r="AH145" i="6"/>
  <c r="AH146" i="6"/>
  <c r="AH149" i="6"/>
  <c r="AI143" i="6"/>
  <c r="AI124" i="6"/>
  <c r="AI125" i="6"/>
  <c r="AI127" i="6"/>
  <c r="AI82" i="6"/>
  <c r="AJ87" i="6"/>
  <c r="AI88" i="6"/>
  <c r="AI89" i="6"/>
  <c r="AI90" i="6"/>
  <c r="AI91" i="6"/>
  <c r="AI95" i="6"/>
  <c r="AI96" i="6"/>
  <c r="AI97" i="6"/>
  <c r="AI98" i="6"/>
  <c r="AI99" i="6"/>
  <c r="AI100" i="6"/>
  <c r="AI105" i="6"/>
  <c r="AI106" i="6"/>
  <c r="AI107" i="6"/>
  <c r="AI108" i="6"/>
  <c r="AI109" i="6"/>
  <c r="AI110" i="6"/>
  <c r="AI129" i="6"/>
  <c r="AI130" i="6"/>
  <c r="AI148" i="6"/>
  <c r="AH141" i="6"/>
  <c r="AI136" i="6"/>
  <c r="AI137" i="6"/>
  <c r="AI138" i="6"/>
  <c r="AI139" i="6"/>
  <c r="AI140" i="6"/>
  <c r="AI147" i="6"/>
  <c r="AI145" i="6"/>
  <c r="AI146" i="6"/>
  <c r="AI149" i="6"/>
  <c r="AJ143" i="6"/>
  <c r="AJ124" i="6"/>
  <c r="AJ125" i="6"/>
  <c r="AJ127" i="6"/>
  <c r="AJ82" i="6"/>
  <c r="AK87" i="6"/>
  <c r="AJ88" i="6"/>
  <c r="AJ89" i="6"/>
  <c r="AJ90" i="6"/>
  <c r="AJ91" i="6"/>
  <c r="AJ95" i="6"/>
  <c r="AJ96" i="6"/>
  <c r="AJ97" i="6"/>
  <c r="AJ98" i="6"/>
  <c r="AJ99" i="6"/>
  <c r="AJ100" i="6"/>
  <c r="AJ105" i="6"/>
  <c r="AJ106" i="6"/>
  <c r="AJ107" i="6"/>
  <c r="AJ108" i="6"/>
  <c r="AJ109" i="6"/>
  <c r="AJ110" i="6"/>
  <c r="AJ129" i="6"/>
  <c r="AJ130" i="6"/>
  <c r="AJ148" i="6"/>
  <c r="AI141" i="6"/>
  <c r="AJ136" i="6"/>
  <c r="AJ137" i="6"/>
  <c r="AJ138" i="6"/>
  <c r="AJ139" i="6"/>
  <c r="AJ140" i="6"/>
  <c r="AJ147" i="6"/>
  <c r="AJ145" i="6"/>
  <c r="AJ146" i="6"/>
  <c r="AJ149" i="6"/>
  <c r="AK143" i="6"/>
  <c r="AK124" i="6"/>
  <c r="AK125" i="6"/>
  <c r="AK127" i="6"/>
  <c r="AK82" i="6"/>
  <c r="AL87" i="6"/>
  <c r="AK88" i="6"/>
  <c r="AK89" i="6"/>
  <c r="AK90" i="6"/>
  <c r="AK91" i="6"/>
  <c r="AK95" i="6"/>
  <c r="AK96" i="6"/>
  <c r="AK97" i="6"/>
  <c r="AK98" i="6"/>
  <c r="AK99" i="6"/>
  <c r="AK100" i="6"/>
  <c r="AK105" i="6"/>
  <c r="AK106" i="6"/>
  <c r="AK107" i="6"/>
  <c r="AK108" i="6"/>
  <c r="AK109" i="6"/>
  <c r="AK110" i="6"/>
  <c r="AK129" i="6"/>
  <c r="AK130" i="6"/>
  <c r="AK148" i="6"/>
  <c r="AJ141" i="6"/>
  <c r="AK136" i="6"/>
  <c r="AK137" i="6"/>
  <c r="AK138" i="6"/>
  <c r="AK139" i="6"/>
  <c r="AK140" i="6"/>
  <c r="AK147" i="6"/>
  <c r="AK145" i="6"/>
  <c r="AK146" i="6"/>
  <c r="AK149" i="6"/>
  <c r="AL143" i="6"/>
  <c r="AL124" i="6"/>
  <c r="AL125" i="6"/>
  <c r="AL127" i="6"/>
  <c r="AL82" i="6"/>
  <c r="AM87" i="6"/>
  <c r="AL88" i="6"/>
  <c r="AL89" i="6"/>
  <c r="AL90" i="6"/>
  <c r="AL91" i="6"/>
  <c r="AL95" i="6"/>
  <c r="AL96" i="6"/>
  <c r="AL97" i="6"/>
  <c r="AL98" i="6"/>
  <c r="AL99" i="6"/>
  <c r="AL100" i="6"/>
  <c r="AL105" i="6"/>
  <c r="AL106" i="6"/>
  <c r="AL107" i="6"/>
  <c r="AL108" i="6"/>
  <c r="AL109" i="6"/>
  <c r="AL110" i="6"/>
  <c r="AL129" i="6"/>
  <c r="AL130" i="6"/>
  <c r="AL148" i="6"/>
  <c r="AK141" i="6"/>
  <c r="AL136" i="6"/>
  <c r="AL137" i="6"/>
  <c r="AL138" i="6"/>
  <c r="AL139" i="6"/>
  <c r="AL140" i="6"/>
  <c r="AL147" i="6"/>
  <c r="AL145" i="6"/>
  <c r="AL146" i="6"/>
  <c r="AL149" i="6"/>
  <c r="AM143" i="6"/>
  <c r="AM124" i="6"/>
  <c r="AM125" i="6"/>
  <c r="AM127" i="6"/>
  <c r="AM82" i="6"/>
  <c r="AN87" i="6"/>
  <c r="AM88" i="6"/>
  <c r="AM89" i="6"/>
  <c r="AM90" i="6"/>
  <c r="AM91" i="6"/>
  <c r="AM95" i="6"/>
  <c r="AM96" i="6"/>
  <c r="AM97" i="6"/>
  <c r="AM98" i="6"/>
  <c r="AM99" i="6"/>
  <c r="AM100" i="6"/>
  <c r="AM105" i="6"/>
  <c r="AM106" i="6"/>
  <c r="AM107" i="6"/>
  <c r="AM108" i="6"/>
  <c r="AM109" i="6"/>
  <c r="AM110" i="6"/>
  <c r="AM129" i="6"/>
  <c r="AM130" i="6"/>
  <c r="AM148" i="6"/>
  <c r="AL141" i="6"/>
  <c r="AM136" i="6"/>
  <c r="AM137" i="6"/>
  <c r="AM138" i="6"/>
  <c r="AM139" i="6"/>
  <c r="AM140" i="6"/>
  <c r="AM147" i="6"/>
  <c r="AM145" i="6"/>
  <c r="AM146" i="6"/>
  <c r="AM149" i="6"/>
  <c r="AN143" i="6"/>
  <c r="AN124" i="6"/>
  <c r="AN125" i="6"/>
  <c r="AN127" i="6"/>
  <c r="AN82" i="6"/>
  <c r="AO87" i="6"/>
  <c r="AN88" i="6"/>
  <c r="AN89" i="6"/>
  <c r="AN90" i="6"/>
  <c r="AN91" i="6"/>
  <c r="AN95" i="6"/>
  <c r="AN96" i="6"/>
  <c r="AN97" i="6"/>
  <c r="AN98" i="6"/>
  <c r="AN99" i="6"/>
  <c r="AN100" i="6"/>
  <c r="AN105" i="6"/>
  <c r="AN106" i="6"/>
  <c r="AN107" i="6"/>
  <c r="AN108" i="6"/>
  <c r="AN109" i="6"/>
  <c r="AN110" i="6"/>
  <c r="AN129" i="6"/>
  <c r="AN130" i="6"/>
  <c r="AN148" i="6"/>
  <c r="AM141" i="6"/>
  <c r="AN136" i="6"/>
  <c r="AN137" i="6"/>
  <c r="AN138" i="6"/>
  <c r="AN139" i="6"/>
  <c r="AN140" i="6"/>
  <c r="AN147" i="6"/>
  <c r="AN145" i="6"/>
  <c r="AN146" i="6"/>
  <c r="AN149" i="6"/>
  <c r="AO143" i="6"/>
  <c r="AO124" i="6"/>
  <c r="AO125" i="6"/>
  <c r="AO127" i="6"/>
  <c r="AO82" i="6"/>
  <c r="AP87" i="6"/>
  <c r="AO88" i="6"/>
  <c r="AO89" i="6"/>
  <c r="AO90" i="6"/>
  <c r="AO91" i="6"/>
  <c r="AO95" i="6"/>
  <c r="AO96" i="6"/>
  <c r="AO97" i="6"/>
  <c r="AO98" i="6"/>
  <c r="AO99" i="6"/>
  <c r="AO100" i="6"/>
  <c r="AO105" i="6"/>
  <c r="AO106" i="6"/>
  <c r="AO107" i="6"/>
  <c r="AO108" i="6"/>
  <c r="AO109" i="6"/>
  <c r="AO110" i="6"/>
  <c r="AO129" i="6"/>
  <c r="AO130" i="6"/>
  <c r="AO148" i="6"/>
  <c r="AN141" i="6"/>
  <c r="AO136" i="6"/>
  <c r="AO137" i="6"/>
  <c r="AO138" i="6"/>
  <c r="AO139" i="6"/>
  <c r="AO140" i="6"/>
  <c r="AO147" i="6"/>
  <c r="AO145" i="6"/>
  <c r="AO146" i="6"/>
  <c r="AO149" i="6"/>
  <c r="AP143" i="6"/>
  <c r="AP124" i="6"/>
  <c r="AP125" i="6"/>
  <c r="AP127" i="6"/>
  <c r="AP82" i="6"/>
  <c r="AQ87" i="6"/>
  <c r="AP88" i="6"/>
  <c r="AP89" i="6"/>
  <c r="AP90" i="6"/>
  <c r="AP91" i="6"/>
  <c r="AP95" i="6"/>
  <c r="AP96" i="6"/>
  <c r="AP97" i="6"/>
  <c r="AP98" i="6"/>
  <c r="AP99" i="6"/>
  <c r="AP100" i="6"/>
  <c r="AP105" i="6"/>
  <c r="AP106" i="6"/>
  <c r="AP107" i="6"/>
  <c r="AP108" i="6"/>
  <c r="AP109" i="6"/>
  <c r="AP110" i="6"/>
  <c r="AP129" i="6"/>
  <c r="AP130" i="6"/>
  <c r="AP148" i="6"/>
  <c r="AO141" i="6"/>
  <c r="AP136" i="6"/>
  <c r="AP137" i="6"/>
  <c r="AP138" i="6"/>
  <c r="AP139" i="6"/>
  <c r="AP140" i="6"/>
  <c r="AP147" i="6"/>
  <c r="AP145" i="6"/>
  <c r="AP146" i="6"/>
  <c r="AP149" i="6"/>
  <c r="AQ143" i="6"/>
  <c r="AQ124" i="6"/>
  <c r="AQ125" i="6"/>
  <c r="AQ127" i="6"/>
  <c r="AQ82" i="6"/>
  <c r="AR87" i="6"/>
  <c r="AQ88" i="6"/>
  <c r="AQ89" i="6"/>
  <c r="AQ90" i="6"/>
  <c r="AQ91" i="6"/>
  <c r="AQ95" i="6"/>
  <c r="AQ96" i="6"/>
  <c r="AQ97" i="6"/>
  <c r="AQ98" i="6"/>
  <c r="AQ99" i="6"/>
  <c r="AQ100" i="6"/>
  <c r="AQ105" i="6"/>
  <c r="AQ106" i="6"/>
  <c r="AQ107" i="6"/>
  <c r="AQ108" i="6"/>
  <c r="AQ109" i="6"/>
  <c r="AQ110" i="6"/>
  <c r="AQ129" i="6"/>
  <c r="AQ130" i="6"/>
  <c r="AQ148" i="6"/>
  <c r="AP141" i="6"/>
  <c r="AQ136" i="6"/>
  <c r="AQ137" i="6"/>
  <c r="AQ138" i="6"/>
  <c r="AQ139" i="6"/>
  <c r="AQ140" i="6"/>
  <c r="AQ147" i="6"/>
  <c r="AQ145" i="6"/>
  <c r="AQ146" i="6"/>
  <c r="AQ149" i="6"/>
  <c r="AR143" i="6"/>
  <c r="AR124" i="6"/>
  <c r="AR125" i="6"/>
  <c r="AR127" i="6"/>
  <c r="AR82" i="6"/>
  <c r="AS87" i="6"/>
  <c r="AR88" i="6"/>
  <c r="AR89" i="6"/>
  <c r="AR90" i="6"/>
  <c r="AR91" i="6"/>
  <c r="AR95" i="6"/>
  <c r="AR96" i="6"/>
  <c r="AR97" i="6"/>
  <c r="AR98" i="6"/>
  <c r="AR99" i="6"/>
  <c r="AR100" i="6"/>
  <c r="AR105" i="6"/>
  <c r="AR106" i="6"/>
  <c r="AR107" i="6"/>
  <c r="AR108" i="6"/>
  <c r="AR109" i="6"/>
  <c r="AR110" i="6"/>
  <c r="AR129" i="6"/>
  <c r="AR130" i="6"/>
  <c r="AR148" i="6"/>
  <c r="AQ141" i="6"/>
  <c r="AR136" i="6"/>
  <c r="AR137" i="6"/>
  <c r="AR138" i="6"/>
  <c r="AR139" i="6"/>
  <c r="AR140" i="6"/>
  <c r="AR147" i="6"/>
  <c r="AR145" i="6"/>
  <c r="AR146" i="6"/>
  <c r="AR149" i="6"/>
  <c r="AS143" i="6"/>
  <c r="AS124" i="6"/>
  <c r="AS125" i="6"/>
  <c r="AS127" i="6"/>
  <c r="AS82" i="6"/>
  <c r="AT87" i="6"/>
  <c r="AS88" i="6"/>
  <c r="AS89" i="6"/>
  <c r="AS90" i="6"/>
  <c r="AS91" i="6"/>
  <c r="AS95" i="6"/>
  <c r="AS96" i="6"/>
  <c r="AS97" i="6"/>
  <c r="AS98" i="6"/>
  <c r="AS99" i="6"/>
  <c r="AS100" i="6"/>
  <c r="AS105" i="6"/>
  <c r="AS106" i="6"/>
  <c r="AS107" i="6"/>
  <c r="AS108" i="6"/>
  <c r="AS109" i="6"/>
  <c r="AS110" i="6"/>
  <c r="AS129" i="6"/>
  <c r="AS130" i="6"/>
  <c r="AS148" i="6"/>
  <c r="AR141" i="6"/>
  <c r="AS136" i="6"/>
  <c r="AS137" i="6"/>
  <c r="AS138" i="6"/>
  <c r="AS139" i="6"/>
  <c r="AS140" i="6"/>
  <c r="AS147" i="6"/>
  <c r="AS145" i="6"/>
  <c r="AS146" i="6"/>
  <c r="AS149" i="6"/>
  <c r="AT143" i="6"/>
  <c r="AT124" i="6"/>
  <c r="AT125" i="6"/>
  <c r="AT127" i="6"/>
  <c r="AT82" i="6"/>
  <c r="AU87" i="6"/>
  <c r="AT88" i="6"/>
  <c r="AT89" i="6"/>
  <c r="AT90" i="6"/>
  <c r="AT91" i="6"/>
  <c r="AT95" i="6"/>
  <c r="AT96" i="6"/>
  <c r="AT97" i="6"/>
  <c r="AT98" i="6"/>
  <c r="AT99" i="6"/>
  <c r="AT100" i="6"/>
  <c r="AT105" i="6"/>
  <c r="AT106" i="6"/>
  <c r="AT107" i="6"/>
  <c r="AT108" i="6"/>
  <c r="AT109" i="6"/>
  <c r="AT110" i="6"/>
  <c r="AT129" i="6"/>
  <c r="AT130" i="6"/>
  <c r="AT148" i="6"/>
  <c r="AS141" i="6"/>
  <c r="AT136" i="6"/>
  <c r="AT137" i="6"/>
  <c r="AT138" i="6"/>
  <c r="AT139" i="6"/>
  <c r="AT140" i="6"/>
  <c r="AT147" i="6"/>
  <c r="AT145" i="6"/>
  <c r="AT146" i="6"/>
  <c r="AT149" i="6"/>
  <c r="AU143" i="6"/>
  <c r="AU124" i="6"/>
  <c r="AU125" i="6"/>
  <c r="AU127" i="6"/>
  <c r="AU82" i="6"/>
  <c r="AV87" i="6"/>
  <c r="AU88" i="6"/>
  <c r="AU89" i="6"/>
  <c r="AU90" i="6"/>
  <c r="AU91" i="6"/>
  <c r="AU95" i="6"/>
  <c r="AU96" i="6"/>
  <c r="AU97" i="6"/>
  <c r="AU98" i="6"/>
  <c r="AU99" i="6"/>
  <c r="AU100" i="6"/>
  <c r="AU105" i="6"/>
  <c r="AU106" i="6"/>
  <c r="AU107" i="6"/>
  <c r="AU108" i="6"/>
  <c r="AU109" i="6"/>
  <c r="AU110" i="6"/>
  <c r="AU129" i="6"/>
  <c r="AU130" i="6"/>
  <c r="AU148" i="6"/>
  <c r="AT141" i="6"/>
  <c r="AU136" i="6"/>
  <c r="AU137" i="6"/>
  <c r="AU138" i="6"/>
  <c r="AU139" i="6"/>
  <c r="AU140" i="6"/>
  <c r="AU147" i="6"/>
  <c r="AU145" i="6"/>
  <c r="AU146" i="6"/>
  <c r="AU149" i="6"/>
  <c r="AV143" i="6"/>
  <c r="AV124" i="6"/>
  <c r="AV125" i="6"/>
  <c r="AV127" i="6"/>
  <c r="AV82" i="6"/>
  <c r="AW87" i="6"/>
  <c r="AV88" i="6"/>
  <c r="AV89" i="6"/>
  <c r="AV90" i="6"/>
  <c r="AV91" i="6"/>
  <c r="AV95" i="6"/>
  <c r="AV96" i="6"/>
  <c r="AV97" i="6"/>
  <c r="AV98" i="6"/>
  <c r="AV99" i="6"/>
  <c r="AV100" i="6"/>
  <c r="AV105" i="6"/>
  <c r="AV106" i="6"/>
  <c r="AV107" i="6"/>
  <c r="AV108" i="6"/>
  <c r="AV109" i="6"/>
  <c r="AV110" i="6"/>
  <c r="AV129" i="6"/>
  <c r="AV130" i="6"/>
  <c r="AV148" i="6"/>
  <c r="AU141" i="6"/>
  <c r="AV136" i="6"/>
  <c r="AV137" i="6"/>
  <c r="AV138" i="6"/>
  <c r="AV139" i="6"/>
  <c r="AV140" i="6"/>
  <c r="AV147" i="6"/>
  <c r="AV145" i="6"/>
  <c r="AV146" i="6"/>
  <c r="AV149" i="6"/>
  <c r="AW143" i="6"/>
  <c r="AW124" i="6"/>
  <c r="AW125" i="6"/>
  <c r="AW127" i="6"/>
  <c r="AW82" i="6"/>
  <c r="AX87" i="6"/>
  <c r="AW88" i="6"/>
  <c r="AW89" i="6"/>
  <c r="AW90" i="6"/>
  <c r="AW91" i="6"/>
  <c r="AW95" i="6"/>
  <c r="AW96" i="6"/>
  <c r="AW97" i="6"/>
  <c r="AW98" i="6"/>
  <c r="AW99" i="6"/>
  <c r="AW100" i="6"/>
  <c r="AW105" i="6"/>
  <c r="AW106" i="6"/>
  <c r="AW107" i="6"/>
  <c r="AW108" i="6"/>
  <c r="AW109" i="6"/>
  <c r="AW110" i="6"/>
  <c r="AW129" i="6"/>
  <c r="AW130" i="6"/>
  <c r="AW148" i="6"/>
  <c r="AV141" i="6"/>
  <c r="AW136" i="6"/>
  <c r="AW137" i="6"/>
  <c r="AW138" i="6"/>
  <c r="AW139" i="6"/>
  <c r="AW140" i="6"/>
  <c r="AW147" i="6"/>
  <c r="AW145" i="6"/>
  <c r="AW146" i="6"/>
  <c r="AW149" i="6"/>
  <c r="AX143" i="6"/>
  <c r="AX124" i="6"/>
  <c r="AX125" i="6"/>
  <c r="AX127" i="6"/>
  <c r="AX82" i="6"/>
  <c r="AY87" i="6"/>
  <c r="AX88" i="6"/>
  <c r="AX89" i="6"/>
  <c r="AX90" i="6"/>
  <c r="AX91" i="6"/>
  <c r="AX95" i="6"/>
  <c r="AX96" i="6"/>
  <c r="AX97" i="6"/>
  <c r="AX98" i="6"/>
  <c r="AX99" i="6"/>
  <c r="AX100" i="6"/>
  <c r="AX105" i="6"/>
  <c r="AX106" i="6"/>
  <c r="AX107" i="6"/>
  <c r="AX108" i="6"/>
  <c r="AX109" i="6"/>
  <c r="AX110" i="6"/>
  <c r="AX129" i="6"/>
  <c r="AX130" i="6"/>
  <c r="AX148" i="6"/>
  <c r="AW141" i="6"/>
  <c r="AX136" i="6"/>
  <c r="AX137" i="6"/>
  <c r="AX138" i="6"/>
  <c r="AX139" i="6"/>
  <c r="AX140" i="6"/>
  <c r="AX147" i="6"/>
  <c r="AX145" i="6"/>
  <c r="AX146" i="6"/>
  <c r="AX149" i="6"/>
  <c r="AY143" i="6"/>
  <c r="AY124" i="6"/>
  <c r="AY125" i="6"/>
  <c r="AY127" i="6"/>
  <c r="AY82" i="6"/>
  <c r="AY88" i="6"/>
  <c r="AY89" i="6"/>
  <c r="AY90" i="6"/>
  <c r="AY91" i="6"/>
  <c r="AY95" i="6"/>
  <c r="AY96" i="6"/>
  <c r="AY97" i="6"/>
  <c r="AY98" i="6"/>
  <c r="AY99" i="6"/>
  <c r="AY100" i="6"/>
  <c r="AY105" i="6"/>
  <c r="AY106" i="6"/>
  <c r="AY107" i="6"/>
  <c r="AY108" i="6"/>
  <c r="AY109" i="6"/>
  <c r="AY110" i="6"/>
  <c r="AY129" i="6"/>
  <c r="AY130" i="6"/>
  <c r="AY148" i="6"/>
  <c r="AX141" i="6"/>
  <c r="AY136" i="6"/>
  <c r="AY137" i="6"/>
  <c r="AY138" i="6"/>
  <c r="AY139" i="6"/>
  <c r="AY140" i="6"/>
  <c r="AY147" i="6"/>
  <c r="AY145" i="6"/>
  <c r="AY146" i="6"/>
  <c r="AY149" i="6"/>
  <c r="A148" i="6"/>
  <c r="B148" i="6"/>
  <c r="C148" i="6"/>
  <c r="D174" i="6"/>
  <c r="AE164" i="6"/>
  <c r="AE114" i="6"/>
  <c r="AE115" i="6"/>
  <c r="AE116" i="6"/>
  <c r="AE118" i="6"/>
  <c r="AE166" i="6"/>
  <c r="AD157" i="6"/>
  <c r="AE152" i="6"/>
  <c r="AE153" i="6"/>
  <c r="AE154" i="6"/>
  <c r="AE155" i="6"/>
  <c r="AE156" i="6"/>
  <c r="AE159" i="6"/>
  <c r="AE167" i="6"/>
  <c r="AE165" i="6"/>
  <c r="AE168" i="6"/>
  <c r="AF164" i="6"/>
  <c r="AF114" i="6"/>
  <c r="AF115" i="6"/>
  <c r="AF116" i="6"/>
  <c r="AF118" i="6"/>
  <c r="AF166" i="6"/>
  <c r="AE157" i="6"/>
  <c r="AF152" i="6"/>
  <c r="AF153" i="6"/>
  <c r="AF154" i="6"/>
  <c r="AF155" i="6"/>
  <c r="AF156" i="6"/>
  <c r="AF159" i="6"/>
  <c r="AF167" i="6"/>
  <c r="AF165" i="6"/>
  <c r="AF168" i="6"/>
  <c r="AG164" i="6"/>
  <c r="AG114" i="6"/>
  <c r="AG115" i="6"/>
  <c r="AG116" i="6"/>
  <c r="AG118" i="6"/>
  <c r="AG166" i="6"/>
  <c r="AF157" i="6"/>
  <c r="AG152" i="6"/>
  <c r="AG153" i="6"/>
  <c r="AG154" i="6"/>
  <c r="AG155" i="6"/>
  <c r="AG156" i="6"/>
  <c r="AG159" i="6"/>
  <c r="AG167" i="6"/>
  <c r="AG165" i="6"/>
  <c r="AG168" i="6"/>
  <c r="AH164" i="6"/>
  <c r="AH114" i="6"/>
  <c r="AH115" i="6"/>
  <c r="AH116" i="6"/>
  <c r="AH118" i="6"/>
  <c r="AH166" i="6"/>
  <c r="AG157" i="6"/>
  <c r="AH152" i="6"/>
  <c r="AH153" i="6"/>
  <c r="AH154" i="6"/>
  <c r="AH155" i="6"/>
  <c r="AH156" i="6"/>
  <c r="AH159" i="6"/>
  <c r="AH167" i="6"/>
  <c r="AH165" i="6"/>
  <c r="AH168" i="6"/>
  <c r="AI164" i="6"/>
  <c r="AI114" i="6"/>
  <c r="AI115" i="6"/>
  <c r="AI116" i="6"/>
  <c r="AI118" i="6"/>
  <c r="AI166" i="6"/>
  <c r="AH157" i="6"/>
  <c r="AI152" i="6"/>
  <c r="AI153" i="6"/>
  <c r="AI154" i="6"/>
  <c r="AI155" i="6"/>
  <c r="AI156" i="6"/>
  <c r="AI159" i="6"/>
  <c r="AI167" i="6"/>
  <c r="AI165" i="6"/>
  <c r="AI168" i="6"/>
  <c r="AJ164" i="6"/>
  <c r="AJ114" i="6"/>
  <c r="AJ115" i="6"/>
  <c r="AJ116" i="6"/>
  <c r="AJ118" i="6"/>
  <c r="AJ166" i="6"/>
  <c r="AI157" i="6"/>
  <c r="AJ152" i="6"/>
  <c r="AJ153" i="6"/>
  <c r="AJ154" i="6"/>
  <c r="AJ155" i="6"/>
  <c r="AJ156" i="6"/>
  <c r="AJ159" i="6"/>
  <c r="AJ167" i="6"/>
  <c r="AJ165" i="6"/>
  <c r="AJ168" i="6"/>
  <c r="AK164" i="6"/>
  <c r="AK114" i="6"/>
  <c r="AK115" i="6"/>
  <c r="AK116" i="6"/>
  <c r="AK118" i="6"/>
  <c r="AK166" i="6"/>
  <c r="AJ157" i="6"/>
  <c r="AK152" i="6"/>
  <c r="AK153" i="6"/>
  <c r="AK154" i="6"/>
  <c r="AK155" i="6"/>
  <c r="AK156" i="6"/>
  <c r="AK159" i="6"/>
  <c r="AK167" i="6"/>
  <c r="AK165" i="6"/>
  <c r="AK168" i="6"/>
  <c r="AL164" i="6"/>
  <c r="AL114" i="6"/>
  <c r="AL115" i="6"/>
  <c r="AL116" i="6"/>
  <c r="AL118" i="6"/>
  <c r="AL166" i="6"/>
  <c r="AK157" i="6"/>
  <c r="AL152" i="6"/>
  <c r="AL153" i="6"/>
  <c r="AL154" i="6"/>
  <c r="AL155" i="6"/>
  <c r="AL156" i="6"/>
  <c r="AL159" i="6"/>
  <c r="AL167" i="6"/>
  <c r="AL165" i="6"/>
  <c r="AL168" i="6"/>
  <c r="AM164" i="6"/>
  <c r="AM114" i="6"/>
  <c r="AM115" i="6"/>
  <c r="AM116" i="6"/>
  <c r="AM118" i="6"/>
  <c r="AM166" i="6"/>
  <c r="AL157" i="6"/>
  <c r="AM152" i="6"/>
  <c r="AM153" i="6"/>
  <c r="AM154" i="6"/>
  <c r="AM155" i="6"/>
  <c r="AM156" i="6"/>
  <c r="AM159" i="6"/>
  <c r="AM167" i="6"/>
  <c r="AM165" i="6"/>
  <c r="AM168" i="6"/>
  <c r="AN164" i="6"/>
  <c r="AN114" i="6"/>
  <c r="AN115" i="6"/>
  <c r="AN116" i="6"/>
  <c r="AN118" i="6"/>
  <c r="AN166" i="6"/>
  <c r="AM157" i="6"/>
  <c r="AN152" i="6"/>
  <c r="AN153" i="6"/>
  <c r="AN154" i="6"/>
  <c r="AN155" i="6"/>
  <c r="AN156" i="6"/>
  <c r="AN159" i="6"/>
  <c r="AN167" i="6"/>
  <c r="AN165" i="6"/>
  <c r="AN168" i="6"/>
  <c r="AO164" i="6"/>
  <c r="AO114" i="6"/>
  <c r="AO115" i="6"/>
  <c r="AO116" i="6"/>
  <c r="AO118" i="6"/>
  <c r="AO166" i="6"/>
  <c r="AN157" i="6"/>
  <c r="AO152" i="6"/>
  <c r="AO153" i="6"/>
  <c r="AO154" i="6"/>
  <c r="AO155" i="6"/>
  <c r="AO156" i="6"/>
  <c r="AO159" i="6"/>
  <c r="AO167" i="6"/>
  <c r="AO165" i="6"/>
  <c r="AO168" i="6"/>
  <c r="AP164" i="6"/>
  <c r="AP114" i="6"/>
  <c r="AP115" i="6"/>
  <c r="AP116" i="6"/>
  <c r="AP118" i="6"/>
  <c r="AP166" i="6"/>
  <c r="AO157" i="6"/>
  <c r="AP152" i="6"/>
  <c r="AP153" i="6"/>
  <c r="AP154" i="6"/>
  <c r="AP155" i="6"/>
  <c r="AP156" i="6"/>
  <c r="AP159" i="6"/>
  <c r="AP167" i="6"/>
  <c r="AP165" i="6"/>
  <c r="AP168" i="6"/>
  <c r="AQ164" i="6"/>
  <c r="AQ114" i="6"/>
  <c r="AQ115" i="6"/>
  <c r="AQ116" i="6"/>
  <c r="AQ118" i="6"/>
  <c r="AQ166" i="6"/>
  <c r="AP157" i="6"/>
  <c r="AQ152" i="6"/>
  <c r="AQ153" i="6"/>
  <c r="AQ154" i="6"/>
  <c r="AQ155" i="6"/>
  <c r="AQ156" i="6"/>
  <c r="AQ159" i="6"/>
  <c r="AQ167" i="6"/>
  <c r="AQ165" i="6"/>
  <c r="AQ168" i="6"/>
  <c r="AR164" i="6"/>
  <c r="AR114" i="6"/>
  <c r="AR115" i="6"/>
  <c r="AR116" i="6"/>
  <c r="AR118" i="6"/>
  <c r="AR166" i="6"/>
  <c r="AQ157" i="6"/>
  <c r="AR152" i="6"/>
  <c r="AR153" i="6"/>
  <c r="AR154" i="6"/>
  <c r="AR155" i="6"/>
  <c r="AR156" i="6"/>
  <c r="AR159" i="6"/>
  <c r="AR167" i="6"/>
  <c r="AR165" i="6"/>
  <c r="AR168" i="6"/>
  <c r="AS164" i="6"/>
  <c r="AS114" i="6"/>
  <c r="AS115" i="6"/>
  <c r="AS116" i="6"/>
  <c r="AS118" i="6"/>
  <c r="AS166" i="6"/>
  <c r="AR157" i="6"/>
  <c r="AS152" i="6"/>
  <c r="AS153" i="6"/>
  <c r="AS154" i="6"/>
  <c r="AS155" i="6"/>
  <c r="AS156" i="6"/>
  <c r="AS159" i="6"/>
  <c r="AS167" i="6"/>
  <c r="AS165" i="6"/>
  <c r="AS168" i="6"/>
  <c r="AT164" i="6"/>
  <c r="AT114" i="6"/>
  <c r="AT115" i="6"/>
  <c r="AT116" i="6"/>
  <c r="AT118" i="6"/>
  <c r="AT166" i="6"/>
  <c r="AS157" i="6"/>
  <c r="AT152" i="6"/>
  <c r="AT153" i="6"/>
  <c r="AT154" i="6"/>
  <c r="AT155" i="6"/>
  <c r="AT156" i="6"/>
  <c r="AT159" i="6"/>
  <c r="AT167" i="6"/>
  <c r="AT165" i="6"/>
  <c r="AT168" i="6"/>
  <c r="AU164" i="6"/>
  <c r="AU114" i="6"/>
  <c r="AU115" i="6"/>
  <c r="AU116" i="6"/>
  <c r="AU118" i="6"/>
  <c r="AU166" i="6"/>
  <c r="AT157" i="6"/>
  <c r="AU152" i="6"/>
  <c r="AU153" i="6"/>
  <c r="AU154" i="6"/>
  <c r="AU155" i="6"/>
  <c r="AU156" i="6"/>
  <c r="AU159" i="6"/>
  <c r="AU167" i="6"/>
  <c r="AU165" i="6"/>
  <c r="AU168" i="6"/>
  <c r="AV164" i="6"/>
  <c r="AV114" i="6"/>
  <c r="AV115" i="6"/>
  <c r="AV116" i="6"/>
  <c r="AV118" i="6"/>
  <c r="AV166" i="6"/>
  <c r="AU157" i="6"/>
  <c r="AV152" i="6"/>
  <c r="AV153" i="6"/>
  <c r="AV154" i="6"/>
  <c r="AV155" i="6"/>
  <c r="AV156" i="6"/>
  <c r="AV159" i="6"/>
  <c r="AV167" i="6"/>
  <c r="AV165" i="6"/>
  <c r="AV168" i="6"/>
  <c r="AW164" i="6"/>
  <c r="AW114" i="6"/>
  <c r="AW115" i="6"/>
  <c r="AW116" i="6"/>
  <c r="AW118" i="6"/>
  <c r="AW166" i="6"/>
  <c r="AV157" i="6"/>
  <c r="AW152" i="6"/>
  <c r="AW153" i="6"/>
  <c r="AW154" i="6"/>
  <c r="AW155" i="6"/>
  <c r="AW156" i="6"/>
  <c r="AW159" i="6"/>
  <c r="AW167" i="6"/>
  <c r="AW165" i="6"/>
  <c r="AW168" i="6"/>
  <c r="AX164" i="6"/>
  <c r="AX114" i="6"/>
  <c r="AX115" i="6"/>
  <c r="AX116" i="6"/>
  <c r="AX118" i="6"/>
  <c r="AX166" i="6"/>
  <c r="AW157" i="6"/>
  <c r="AX152" i="6"/>
  <c r="AX153" i="6"/>
  <c r="AX154" i="6"/>
  <c r="AX155" i="6"/>
  <c r="AX156" i="6"/>
  <c r="AX159" i="6"/>
  <c r="AX167" i="6"/>
  <c r="AX165" i="6"/>
  <c r="AX168" i="6"/>
  <c r="AY164" i="6"/>
  <c r="AY115" i="6"/>
  <c r="AY116" i="6"/>
  <c r="AY118" i="6"/>
  <c r="AY166" i="6"/>
  <c r="AX157" i="6"/>
  <c r="AY152" i="6"/>
  <c r="AY153" i="6"/>
  <c r="AY154" i="6"/>
  <c r="AY155" i="6"/>
  <c r="AY156" i="6"/>
  <c r="AY159" i="6"/>
  <c r="AY167" i="6"/>
  <c r="AY165" i="6"/>
  <c r="AY168" i="6"/>
  <c r="C130" i="6"/>
  <c r="C129" i="6"/>
  <c r="C127" i="6"/>
  <c r="D25" i="8"/>
  <c r="D26" i="8"/>
  <c r="E25" i="8"/>
  <c r="E26" i="8"/>
  <c r="F25" i="8"/>
  <c r="F26" i="8"/>
  <c r="G25" i="8"/>
  <c r="G26" i="8"/>
  <c r="H25" i="8"/>
  <c r="H26" i="8"/>
  <c r="I25" i="8"/>
  <c r="I26" i="8"/>
  <c r="J25" i="8"/>
  <c r="J26" i="8"/>
  <c r="K25" i="8"/>
  <c r="K26" i="8"/>
  <c r="K27" i="8"/>
  <c r="D34" i="8"/>
  <c r="E34" i="8"/>
  <c r="F34" i="8"/>
  <c r="G34" i="8"/>
  <c r="H34" i="8"/>
  <c r="I34" i="8"/>
  <c r="E33" i="8"/>
  <c r="F33" i="8"/>
  <c r="G33" i="8"/>
  <c r="H33" i="8"/>
  <c r="I33" i="8"/>
  <c r="J33" i="8"/>
  <c r="J34" i="8"/>
  <c r="K34" i="8"/>
  <c r="K35" i="8"/>
  <c r="D27" i="8"/>
  <c r="D35" i="8"/>
  <c r="D43" i="8"/>
  <c r="D42" i="8"/>
  <c r="D44" i="8"/>
  <c r="D45" i="8"/>
  <c r="D46" i="8"/>
  <c r="E41" i="8"/>
  <c r="E27" i="8"/>
  <c r="E35" i="8"/>
  <c r="E38" i="8"/>
  <c r="E42" i="8"/>
  <c r="E39" i="8"/>
  <c r="E43" i="8"/>
  <c r="E44" i="8"/>
  <c r="E45" i="8"/>
  <c r="E46" i="8"/>
  <c r="F41" i="8"/>
  <c r="F27" i="8"/>
  <c r="F35" i="8"/>
  <c r="F38" i="8"/>
  <c r="F42" i="8"/>
  <c r="F39" i="8"/>
  <c r="F43" i="8"/>
  <c r="F44" i="8"/>
  <c r="F45" i="8"/>
  <c r="F46" i="8"/>
  <c r="G41" i="8"/>
  <c r="G27" i="8"/>
  <c r="G35" i="8"/>
  <c r="G38" i="8"/>
  <c r="G42" i="8"/>
  <c r="G39" i="8"/>
  <c r="G43" i="8"/>
  <c r="G44" i="8"/>
  <c r="G45" i="8"/>
  <c r="G46" i="8"/>
  <c r="H41" i="8"/>
  <c r="H27" i="8"/>
  <c r="H35" i="8"/>
  <c r="H38" i="8"/>
  <c r="H42" i="8"/>
  <c r="H39" i="8"/>
  <c r="H43" i="8"/>
  <c r="H44" i="8"/>
  <c r="H45" i="8"/>
  <c r="H46" i="8"/>
  <c r="I41" i="8"/>
  <c r="I27" i="8"/>
  <c r="I35" i="8"/>
  <c r="I38" i="8"/>
  <c r="I42" i="8"/>
  <c r="I39" i="8"/>
  <c r="I43" i="8"/>
  <c r="I44" i="8"/>
  <c r="I45" i="8"/>
  <c r="I46" i="8"/>
  <c r="J41" i="8"/>
  <c r="J27" i="8"/>
  <c r="J35" i="8"/>
  <c r="J38" i="8"/>
  <c r="J42" i="8"/>
  <c r="J43" i="8"/>
  <c r="J44" i="8"/>
  <c r="J45" i="8"/>
  <c r="J46" i="8"/>
  <c r="K41" i="8"/>
  <c r="K38" i="8"/>
  <c r="K42" i="8"/>
  <c r="K43" i="8"/>
  <c r="K44" i="8"/>
  <c r="K45" i="8"/>
  <c r="B146" i="6"/>
  <c r="B145" i="6"/>
  <c r="A146" i="6"/>
  <c r="A145" i="6"/>
  <c r="C145" i="6"/>
  <c r="C116" i="6"/>
  <c r="AY114" i="6"/>
  <c r="C115" i="6"/>
  <c r="A115" i="6"/>
  <c r="C114" i="6"/>
  <c r="AY85" i="8"/>
  <c r="AX85" i="8"/>
  <c r="AW85" i="8"/>
  <c r="AV85" i="8"/>
  <c r="AU85" i="8"/>
  <c r="AT85" i="8"/>
  <c r="AS85" i="8"/>
  <c r="AR85" i="8"/>
  <c r="AQ85" i="8"/>
  <c r="AP85" i="8"/>
  <c r="AO85" i="8"/>
  <c r="AN85" i="8"/>
  <c r="AM85" i="8"/>
  <c r="AL85" i="8"/>
  <c r="AK85" i="8"/>
  <c r="AJ85" i="8"/>
  <c r="AI85" i="8"/>
  <c r="AH85" i="8"/>
  <c r="AG85" i="8"/>
  <c r="AF85" i="8"/>
  <c r="AE85" i="8"/>
  <c r="AD85" i="8"/>
  <c r="AC85" i="8"/>
  <c r="AB85" i="8"/>
  <c r="AA85" i="8"/>
  <c r="Z85" i="8"/>
  <c r="Y85" i="8"/>
  <c r="X85" i="8"/>
  <c r="W85" i="8"/>
  <c r="V85" i="8"/>
  <c r="U85" i="8"/>
  <c r="T85" i="8"/>
  <c r="S85" i="8"/>
  <c r="R85" i="8"/>
  <c r="Q85" i="8"/>
  <c r="P85" i="8"/>
  <c r="O85" i="8"/>
  <c r="N85" i="8"/>
  <c r="M85" i="8"/>
  <c r="L85" i="8"/>
  <c r="K85" i="8"/>
  <c r="J85" i="8"/>
  <c r="I85" i="8"/>
  <c r="H85" i="8"/>
  <c r="G85" i="8"/>
  <c r="F85" i="8"/>
  <c r="E85" i="8"/>
  <c r="D85" i="8"/>
  <c r="C156" i="6"/>
  <c r="C85" i="8"/>
  <c r="B85" i="8"/>
  <c r="A85" i="8"/>
  <c r="A82" i="8"/>
  <c r="D67" i="8"/>
  <c r="D68" i="8"/>
  <c r="D69" i="8"/>
  <c r="D50" i="8"/>
  <c r="D51" i="8"/>
  <c r="D71" i="8"/>
  <c r="D72" i="8"/>
  <c r="D75" i="8"/>
  <c r="D77" i="8"/>
  <c r="E74" i="8"/>
  <c r="E67" i="8"/>
  <c r="E68" i="8"/>
  <c r="E69" i="8"/>
  <c r="E50" i="8"/>
  <c r="E51" i="8"/>
  <c r="E71" i="8"/>
  <c r="E72" i="8"/>
  <c r="E75" i="8"/>
  <c r="E76" i="8"/>
  <c r="E79" i="8"/>
  <c r="E80" i="8"/>
  <c r="E81" i="8"/>
  <c r="E82" i="8"/>
  <c r="E77" i="8"/>
  <c r="F74" i="8"/>
  <c r="F67" i="8"/>
  <c r="F68" i="8"/>
  <c r="F69" i="8"/>
  <c r="F50" i="8"/>
  <c r="F51" i="8"/>
  <c r="F71" i="8"/>
  <c r="F72" i="8"/>
  <c r="F75" i="8"/>
  <c r="F76" i="8"/>
  <c r="F79" i="8"/>
  <c r="F80" i="8"/>
  <c r="F81" i="8"/>
  <c r="F82" i="8"/>
  <c r="F77" i="8"/>
  <c r="G74" i="8"/>
  <c r="G67" i="8"/>
  <c r="G68" i="8"/>
  <c r="G69" i="8"/>
  <c r="G50" i="8"/>
  <c r="G51" i="8"/>
  <c r="G71" i="8"/>
  <c r="G72" i="8"/>
  <c r="G75" i="8"/>
  <c r="G76" i="8"/>
  <c r="G79" i="8"/>
  <c r="G80" i="8"/>
  <c r="G81" i="8"/>
  <c r="G82" i="8"/>
  <c r="G77" i="8"/>
  <c r="H74" i="8"/>
  <c r="H67" i="8"/>
  <c r="H68" i="8"/>
  <c r="H69" i="8"/>
  <c r="H50" i="8"/>
  <c r="H51" i="8"/>
  <c r="H71" i="8"/>
  <c r="H72" i="8"/>
  <c r="H75" i="8"/>
  <c r="H76" i="8"/>
  <c r="H79" i="8"/>
  <c r="H80" i="8"/>
  <c r="H81" i="8"/>
  <c r="H82" i="8"/>
  <c r="H77" i="8"/>
  <c r="I74" i="8"/>
  <c r="I67" i="8"/>
  <c r="I68" i="8"/>
  <c r="I69" i="8"/>
  <c r="I50" i="8"/>
  <c r="I51" i="8"/>
  <c r="I71" i="8"/>
  <c r="I72" i="8"/>
  <c r="I75" i="8"/>
  <c r="I76" i="8"/>
  <c r="I79" i="8"/>
  <c r="I80" i="8"/>
  <c r="I81" i="8"/>
  <c r="I82" i="8"/>
  <c r="I77" i="8"/>
  <c r="J74" i="8"/>
  <c r="J67" i="8"/>
  <c r="J68" i="8"/>
  <c r="J69" i="8"/>
  <c r="J50" i="8"/>
  <c r="J51" i="8"/>
  <c r="J71" i="8"/>
  <c r="J72" i="8"/>
  <c r="J75" i="8"/>
  <c r="J76" i="8"/>
  <c r="J79" i="8"/>
  <c r="J80" i="8"/>
  <c r="J81" i="8"/>
  <c r="J82" i="8"/>
  <c r="J77" i="8"/>
  <c r="K74" i="8"/>
  <c r="K67" i="8"/>
  <c r="K68" i="8"/>
  <c r="K69" i="8"/>
  <c r="K46" i="8"/>
  <c r="K50" i="8"/>
  <c r="K51" i="8"/>
  <c r="K71" i="8"/>
  <c r="K72" i="8"/>
  <c r="K75" i="8"/>
  <c r="K76" i="8"/>
  <c r="K79" i="8"/>
  <c r="K80" i="8"/>
  <c r="K81" i="8"/>
  <c r="K82" i="8"/>
  <c r="K77" i="8"/>
  <c r="L74" i="8"/>
  <c r="L67" i="8"/>
  <c r="L25" i="8"/>
  <c r="L26" i="8"/>
  <c r="L68" i="8"/>
  <c r="L69" i="8"/>
  <c r="L41" i="8"/>
  <c r="L27" i="8"/>
  <c r="L34" i="8"/>
  <c r="L35" i="8"/>
  <c r="L38" i="8"/>
  <c r="L42" i="8"/>
  <c r="L43" i="8"/>
  <c r="L44" i="8"/>
  <c r="L45" i="8"/>
  <c r="L46" i="8"/>
  <c r="L50" i="8"/>
  <c r="L51" i="8"/>
  <c r="L71" i="8"/>
  <c r="L72" i="8"/>
  <c r="L75" i="8"/>
  <c r="L76" i="8"/>
  <c r="L79" i="8"/>
  <c r="L80" i="8"/>
  <c r="L81" i="8"/>
  <c r="L82" i="8"/>
  <c r="L77" i="8"/>
  <c r="M74" i="8"/>
  <c r="M67" i="8"/>
  <c r="M25" i="8"/>
  <c r="M26" i="8"/>
  <c r="M68" i="8"/>
  <c r="M69" i="8"/>
  <c r="M41" i="8"/>
  <c r="M27" i="8"/>
  <c r="M34" i="8"/>
  <c r="M35" i="8"/>
  <c r="M38" i="8"/>
  <c r="M42" i="8"/>
  <c r="M43" i="8"/>
  <c r="M44" i="8"/>
  <c r="M45" i="8"/>
  <c r="M46" i="8"/>
  <c r="M50" i="8"/>
  <c r="M51" i="8"/>
  <c r="M71" i="8"/>
  <c r="M72" i="8"/>
  <c r="M75" i="8"/>
  <c r="M76" i="8"/>
  <c r="M79" i="8"/>
  <c r="M80" i="8"/>
  <c r="M81" i="8"/>
  <c r="M82" i="8"/>
  <c r="M77" i="8"/>
  <c r="N74" i="8"/>
  <c r="N67" i="8"/>
  <c r="N25" i="8"/>
  <c r="N26" i="8"/>
  <c r="N68" i="8"/>
  <c r="N69" i="8"/>
  <c r="N41" i="8"/>
  <c r="N27" i="8"/>
  <c r="N34" i="8"/>
  <c r="N35" i="8"/>
  <c r="N38" i="8"/>
  <c r="N42" i="8"/>
  <c r="N43" i="8"/>
  <c r="N44" i="8"/>
  <c r="N45" i="8"/>
  <c r="N46" i="8"/>
  <c r="N50" i="8"/>
  <c r="N51" i="8"/>
  <c r="N71" i="8"/>
  <c r="N72" i="8"/>
  <c r="N75" i="8"/>
  <c r="N76" i="8"/>
  <c r="N79" i="8"/>
  <c r="N80" i="8"/>
  <c r="N81" i="8"/>
  <c r="N82" i="8"/>
  <c r="N77" i="8"/>
  <c r="O74" i="8"/>
  <c r="O67" i="8"/>
  <c r="O25" i="8"/>
  <c r="O26" i="8"/>
  <c r="O68" i="8"/>
  <c r="O69" i="8"/>
  <c r="O41" i="8"/>
  <c r="O27" i="8"/>
  <c r="O34" i="8"/>
  <c r="O35" i="8"/>
  <c r="O38" i="8"/>
  <c r="O42" i="8"/>
  <c r="O43" i="8"/>
  <c r="O44" i="8"/>
  <c r="O45" i="8"/>
  <c r="O46" i="8"/>
  <c r="O50" i="8"/>
  <c r="O51" i="8"/>
  <c r="O71" i="8"/>
  <c r="O72" i="8"/>
  <c r="O75" i="8"/>
  <c r="O76" i="8"/>
  <c r="O79" i="8"/>
  <c r="O80" i="8"/>
  <c r="O81" i="8"/>
  <c r="O82" i="8"/>
  <c r="O77" i="8"/>
  <c r="P74" i="8"/>
  <c r="P67" i="8"/>
  <c r="P25" i="8"/>
  <c r="P26" i="8"/>
  <c r="P68" i="8"/>
  <c r="P69" i="8"/>
  <c r="P41" i="8"/>
  <c r="P27" i="8"/>
  <c r="P34" i="8"/>
  <c r="P35" i="8"/>
  <c r="P42" i="8"/>
  <c r="P43" i="8"/>
  <c r="P44" i="8"/>
  <c r="P45" i="8"/>
  <c r="P46" i="8"/>
  <c r="P50" i="8"/>
  <c r="P51" i="8"/>
  <c r="P71" i="8"/>
  <c r="P72" i="8"/>
  <c r="P75" i="8"/>
  <c r="P76" i="8"/>
  <c r="P79" i="8"/>
  <c r="P80" i="8"/>
  <c r="P81" i="8"/>
  <c r="P82" i="8"/>
  <c r="P77" i="8"/>
  <c r="Q74" i="8"/>
  <c r="Q67" i="8"/>
  <c r="Q25" i="8"/>
  <c r="Q26" i="8"/>
  <c r="Q68" i="8"/>
  <c r="Q69" i="8"/>
  <c r="Q41" i="8"/>
  <c r="Q27" i="8"/>
  <c r="Q34" i="8"/>
  <c r="Q35" i="8"/>
  <c r="Q42" i="8"/>
  <c r="Q43" i="8"/>
  <c r="Q44" i="8"/>
  <c r="Q45" i="8"/>
  <c r="Q46" i="8"/>
  <c r="Q50" i="8"/>
  <c r="Q51" i="8"/>
  <c r="Q71" i="8"/>
  <c r="Q72" i="8"/>
  <c r="Q75" i="8"/>
  <c r="Q76" i="8"/>
  <c r="Q79" i="8"/>
  <c r="Q80" i="8"/>
  <c r="Q81" i="8"/>
  <c r="Q82" i="8"/>
  <c r="Q77" i="8"/>
  <c r="R74" i="8"/>
  <c r="R67" i="8"/>
  <c r="R25" i="8"/>
  <c r="R26" i="8"/>
  <c r="R68" i="8"/>
  <c r="R69" i="8"/>
  <c r="R41" i="8"/>
  <c r="R27" i="8"/>
  <c r="R34" i="8"/>
  <c r="R35" i="8"/>
  <c r="R42" i="8"/>
  <c r="R43" i="8"/>
  <c r="R44" i="8"/>
  <c r="R45" i="8"/>
  <c r="R46" i="8"/>
  <c r="R50" i="8"/>
  <c r="R51" i="8"/>
  <c r="R71" i="8"/>
  <c r="R72" i="8"/>
  <c r="R75" i="8"/>
  <c r="R76" i="8"/>
  <c r="R79" i="8"/>
  <c r="R80" i="8"/>
  <c r="R81" i="8"/>
  <c r="R82" i="8"/>
  <c r="R77" i="8"/>
  <c r="S74" i="8"/>
  <c r="S67" i="8"/>
  <c r="S25" i="8"/>
  <c r="S26" i="8"/>
  <c r="S68" i="8"/>
  <c r="S69" i="8"/>
  <c r="S41" i="8"/>
  <c r="S27" i="8"/>
  <c r="S34" i="8"/>
  <c r="S35" i="8"/>
  <c r="S42" i="8"/>
  <c r="S43" i="8"/>
  <c r="S44" i="8"/>
  <c r="S45" i="8"/>
  <c r="S46" i="8"/>
  <c r="S50" i="8"/>
  <c r="S51" i="8"/>
  <c r="S71" i="8"/>
  <c r="S72" i="8"/>
  <c r="S75" i="8"/>
  <c r="S76" i="8"/>
  <c r="S79" i="8"/>
  <c r="S80" i="8"/>
  <c r="S81" i="8"/>
  <c r="S82" i="8"/>
  <c r="S77" i="8"/>
  <c r="T74" i="8"/>
  <c r="T67" i="8"/>
  <c r="T25" i="8"/>
  <c r="T26" i="8"/>
  <c r="T68" i="8"/>
  <c r="T69" i="8"/>
  <c r="T41" i="8"/>
  <c r="T27" i="8"/>
  <c r="T34" i="8"/>
  <c r="T35" i="8"/>
  <c r="T42" i="8"/>
  <c r="T43" i="8"/>
  <c r="T44" i="8"/>
  <c r="T45" i="8"/>
  <c r="T46" i="8"/>
  <c r="T50" i="8"/>
  <c r="T51" i="8"/>
  <c r="T71" i="8"/>
  <c r="T72" i="8"/>
  <c r="T75" i="8"/>
  <c r="T76" i="8"/>
  <c r="T79" i="8"/>
  <c r="T80" i="8"/>
  <c r="T81" i="8"/>
  <c r="T82" i="8"/>
  <c r="T77" i="8"/>
  <c r="U74" i="8"/>
  <c r="U67" i="8"/>
  <c r="U25" i="8"/>
  <c r="U26" i="8"/>
  <c r="U68" i="8"/>
  <c r="U69" i="8"/>
  <c r="U41" i="8"/>
  <c r="U27" i="8"/>
  <c r="U34" i="8"/>
  <c r="U35" i="8"/>
  <c r="U42" i="8"/>
  <c r="U43" i="8"/>
  <c r="U44" i="8"/>
  <c r="U45" i="8"/>
  <c r="U46" i="8"/>
  <c r="U50" i="8"/>
  <c r="U51" i="8"/>
  <c r="U71" i="8"/>
  <c r="U72" i="8"/>
  <c r="U75" i="8"/>
  <c r="U76" i="8"/>
  <c r="U79" i="8"/>
  <c r="U80" i="8"/>
  <c r="U81" i="8"/>
  <c r="U82" i="8"/>
  <c r="U77" i="8"/>
  <c r="V74" i="8"/>
  <c r="V67" i="8"/>
  <c r="V25" i="8"/>
  <c r="V26" i="8"/>
  <c r="V68" i="8"/>
  <c r="V69" i="8"/>
  <c r="V41" i="8"/>
  <c r="V27" i="8"/>
  <c r="V34" i="8"/>
  <c r="V35" i="8"/>
  <c r="V42" i="8"/>
  <c r="V43" i="8"/>
  <c r="V44" i="8"/>
  <c r="V45" i="8"/>
  <c r="V46" i="8"/>
  <c r="V50" i="8"/>
  <c r="V51" i="8"/>
  <c r="V71" i="8"/>
  <c r="V72" i="8"/>
  <c r="V75" i="8"/>
  <c r="V76" i="8"/>
  <c r="V79" i="8"/>
  <c r="V80" i="8"/>
  <c r="V81" i="8"/>
  <c r="V82" i="8"/>
  <c r="V77" i="8"/>
  <c r="W74" i="8"/>
  <c r="W67" i="8"/>
  <c r="W25" i="8"/>
  <c r="W26" i="8"/>
  <c r="W68" i="8"/>
  <c r="W69" i="8"/>
  <c r="W41" i="8"/>
  <c r="W27" i="8"/>
  <c r="W34" i="8"/>
  <c r="W35" i="8"/>
  <c r="W42" i="8"/>
  <c r="W43" i="8"/>
  <c r="W44" i="8"/>
  <c r="W45" i="8"/>
  <c r="W46" i="8"/>
  <c r="W50" i="8"/>
  <c r="W51" i="8"/>
  <c r="W71" i="8"/>
  <c r="W72" i="8"/>
  <c r="W75" i="8"/>
  <c r="W76" i="8"/>
  <c r="W79" i="8"/>
  <c r="W80" i="8"/>
  <c r="W81" i="8"/>
  <c r="W82" i="8"/>
  <c r="W77" i="8"/>
  <c r="X74" i="8"/>
  <c r="X67" i="8"/>
  <c r="X25" i="8"/>
  <c r="X26" i="8"/>
  <c r="X68" i="8"/>
  <c r="X69" i="8"/>
  <c r="X41" i="8"/>
  <c r="X27" i="8"/>
  <c r="X34" i="8"/>
  <c r="X35" i="8"/>
  <c r="X42" i="8"/>
  <c r="X43" i="8"/>
  <c r="X44" i="8"/>
  <c r="X45" i="8"/>
  <c r="X46" i="8"/>
  <c r="X50" i="8"/>
  <c r="X51" i="8"/>
  <c r="X71" i="8"/>
  <c r="X72" i="8"/>
  <c r="X75" i="8"/>
  <c r="X76" i="8"/>
  <c r="X79" i="8"/>
  <c r="X80" i="8"/>
  <c r="X81" i="8"/>
  <c r="X82" i="8"/>
  <c r="X77" i="8"/>
  <c r="Y74" i="8"/>
  <c r="Y67" i="8"/>
  <c r="Y25" i="8"/>
  <c r="Y26" i="8"/>
  <c r="Y68" i="8"/>
  <c r="Y69" i="8"/>
  <c r="Y41" i="8"/>
  <c r="Y27" i="8"/>
  <c r="Y34" i="8"/>
  <c r="Y35" i="8"/>
  <c r="Y42" i="8"/>
  <c r="Y43" i="8"/>
  <c r="Y44" i="8"/>
  <c r="Y45" i="8"/>
  <c r="Y46" i="8"/>
  <c r="Y50" i="8"/>
  <c r="Y51" i="8"/>
  <c r="Y71" i="8"/>
  <c r="Y72" i="8"/>
  <c r="Y75" i="8"/>
  <c r="Y76" i="8"/>
  <c r="Y79" i="8"/>
  <c r="Y80" i="8"/>
  <c r="Y81" i="8"/>
  <c r="Y82" i="8"/>
  <c r="Y77" i="8"/>
  <c r="Z74" i="8"/>
  <c r="Z67" i="8"/>
  <c r="Z25" i="8"/>
  <c r="Z26" i="8"/>
  <c r="Z68" i="8"/>
  <c r="Z69" i="8"/>
  <c r="Z41" i="8"/>
  <c r="Z27" i="8"/>
  <c r="Z34" i="8"/>
  <c r="Z35" i="8"/>
  <c r="Z42" i="8"/>
  <c r="Z43" i="8"/>
  <c r="Z44" i="8"/>
  <c r="Z45" i="8"/>
  <c r="Z46" i="8"/>
  <c r="Z50" i="8"/>
  <c r="Z51" i="8"/>
  <c r="Z71" i="8"/>
  <c r="Z72" i="8"/>
  <c r="Z75" i="8"/>
  <c r="Z76" i="8"/>
  <c r="Z79" i="8"/>
  <c r="Z80" i="8"/>
  <c r="Z81" i="8"/>
  <c r="Z82" i="8"/>
  <c r="Z77" i="8"/>
  <c r="AA74" i="8"/>
  <c r="AA67" i="8"/>
  <c r="AA25" i="8"/>
  <c r="AA26" i="8"/>
  <c r="AA68" i="8"/>
  <c r="AA69" i="8"/>
  <c r="AA41" i="8"/>
  <c r="AA27" i="8"/>
  <c r="AA34" i="8"/>
  <c r="AA35" i="8"/>
  <c r="AA42" i="8"/>
  <c r="AA43" i="8"/>
  <c r="AA44" i="8"/>
  <c r="AA45" i="8"/>
  <c r="AA46" i="8"/>
  <c r="AA50" i="8"/>
  <c r="AA51" i="8"/>
  <c r="AA71" i="8"/>
  <c r="AA72" i="8"/>
  <c r="AA75" i="8"/>
  <c r="AA76" i="8"/>
  <c r="AA79" i="8"/>
  <c r="AA80" i="8"/>
  <c r="AA81" i="8"/>
  <c r="AA82" i="8"/>
  <c r="AA77" i="8"/>
  <c r="AB74" i="8"/>
  <c r="AB67" i="8"/>
  <c r="AB25" i="8"/>
  <c r="AB26" i="8"/>
  <c r="AB68" i="8"/>
  <c r="AB69" i="8"/>
  <c r="AB41" i="8"/>
  <c r="AB27" i="8"/>
  <c r="AB34" i="8"/>
  <c r="AB35" i="8"/>
  <c r="AB42" i="8"/>
  <c r="AB43" i="8"/>
  <c r="AB44" i="8"/>
  <c r="AB45" i="8"/>
  <c r="AB46" i="8"/>
  <c r="AB50" i="8"/>
  <c r="AB51" i="8"/>
  <c r="AB71" i="8"/>
  <c r="AB72" i="8"/>
  <c r="AB75" i="8"/>
  <c r="AB76" i="8"/>
  <c r="AB79" i="8"/>
  <c r="AB80" i="8"/>
  <c r="AB81" i="8"/>
  <c r="AB82" i="8"/>
  <c r="AB77" i="8"/>
  <c r="AC74" i="8"/>
  <c r="AC67" i="8"/>
  <c r="AC25" i="8"/>
  <c r="AC26" i="8"/>
  <c r="AC68" i="8"/>
  <c r="AC69" i="8"/>
  <c r="AC41" i="8"/>
  <c r="AC27" i="8"/>
  <c r="AC34" i="8"/>
  <c r="AC35" i="8"/>
  <c r="AC42" i="8"/>
  <c r="AC43" i="8"/>
  <c r="AC44" i="8"/>
  <c r="AC45" i="8"/>
  <c r="AC46" i="8"/>
  <c r="AC50" i="8"/>
  <c r="AC51" i="8"/>
  <c r="AC71" i="8"/>
  <c r="AC72" i="8"/>
  <c r="AC75" i="8"/>
  <c r="AC76" i="8"/>
  <c r="AC79" i="8"/>
  <c r="AC80" i="8"/>
  <c r="AC81" i="8"/>
  <c r="AC82" i="8"/>
  <c r="AC77" i="8"/>
  <c r="AD74" i="8"/>
  <c r="AD67" i="8"/>
  <c r="AD25" i="8"/>
  <c r="AD26" i="8"/>
  <c r="AD68" i="8"/>
  <c r="AD69" i="8"/>
  <c r="AD41" i="8"/>
  <c r="AD27" i="8"/>
  <c r="AD34" i="8"/>
  <c r="AD35" i="8"/>
  <c r="AD42" i="8"/>
  <c r="AD43" i="8"/>
  <c r="AD44" i="8"/>
  <c r="AD45" i="8"/>
  <c r="AD46" i="8"/>
  <c r="AD50" i="8"/>
  <c r="AD51" i="8"/>
  <c r="AD71" i="8"/>
  <c r="AD72" i="8"/>
  <c r="AD75" i="8"/>
  <c r="AD76" i="8"/>
  <c r="AD79" i="8"/>
  <c r="AD80" i="8"/>
  <c r="AD81" i="8"/>
  <c r="AD82" i="8"/>
  <c r="AD77" i="8"/>
  <c r="AE74" i="8"/>
  <c r="AE67" i="8"/>
  <c r="AE25" i="8"/>
  <c r="AE26" i="8"/>
  <c r="AE68" i="8"/>
  <c r="AE69" i="8"/>
  <c r="AE41" i="8"/>
  <c r="AE27" i="8"/>
  <c r="AE34" i="8"/>
  <c r="AE35" i="8"/>
  <c r="AE42" i="8"/>
  <c r="AE43" i="8"/>
  <c r="AE44" i="8"/>
  <c r="AE45" i="8"/>
  <c r="AE46" i="8"/>
  <c r="AE50" i="8"/>
  <c r="AE51" i="8"/>
  <c r="AE71" i="8"/>
  <c r="AE72" i="8"/>
  <c r="AE75" i="8"/>
  <c r="AE76" i="8"/>
  <c r="AE79" i="8"/>
  <c r="AE80" i="8"/>
  <c r="AE81" i="8"/>
  <c r="AE82" i="8"/>
  <c r="AE77" i="8"/>
  <c r="AF74" i="8"/>
  <c r="AF67" i="8"/>
  <c r="AF25" i="8"/>
  <c r="AF26" i="8"/>
  <c r="AF68" i="8"/>
  <c r="AF69" i="8"/>
  <c r="AF41" i="8"/>
  <c r="AF27" i="8"/>
  <c r="AF34" i="8"/>
  <c r="AF35" i="8"/>
  <c r="AF42" i="8"/>
  <c r="AF43" i="8"/>
  <c r="AF44" i="8"/>
  <c r="AF45" i="8"/>
  <c r="AF46" i="8"/>
  <c r="AF50" i="8"/>
  <c r="AF51" i="8"/>
  <c r="AF71" i="8"/>
  <c r="AF72" i="8"/>
  <c r="AF75" i="8"/>
  <c r="AF76" i="8"/>
  <c r="AF79" i="8"/>
  <c r="AF80" i="8"/>
  <c r="AF81" i="8"/>
  <c r="AF82" i="8"/>
  <c r="AF77" i="8"/>
  <c r="AG74" i="8"/>
  <c r="AG67" i="8"/>
  <c r="AG25" i="8"/>
  <c r="AG26" i="8"/>
  <c r="AG68" i="8"/>
  <c r="AG69" i="8"/>
  <c r="AG41" i="8"/>
  <c r="AG27" i="8"/>
  <c r="AG34" i="8"/>
  <c r="AG35" i="8"/>
  <c r="AG42" i="8"/>
  <c r="AG43" i="8"/>
  <c r="AG44" i="8"/>
  <c r="AG45" i="8"/>
  <c r="AG46" i="8"/>
  <c r="AG50" i="8"/>
  <c r="AG51" i="8"/>
  <c r="AG71" i="8"/>
  <c r="AG72" i="8"/>
  <c r="AG75" i="8"/>
  <c r="AG76" i="8"/>
  <c r="AG79" i="8"/>
  <c r="AG80" i="8"/>
  <c r="AG81" i="8"/>
  <c r="AG82" i="8"/>
  <c r="AG77" i="8"/>
  <c r="AH74" i="8"/>
  <c r="AH67" i="8"/>
  <c r="AH25" i="8"/>
  <c r="AH26" i="8"/>
  <c r="AH68" i="8"/>
  <c r="AH69" i="8"/>
  <c r="AH41" i="8"/>
  <c r="AH27" i="8"/>
  <c r="AH34" i="8"/>
  <c r="AH35" i="8"/>
  <c r="AH42" i="8"/>
  <c r="AH43" i="8"/>
  <c r="AH44" i="8"/>
  <c r="AH45" i="8"/>
  <c r="AH46" i="8"/>
  <c r="AH50" i="8"/>
  <c r="AH51" i="8"/>
  <c r="AH71" i="8"/>
  <c r="AH72" i="8"/>
  <c r="AH75" i="8"/>
  <c r="AH76" i="8"/>
  <c r="AH79" i="8"/>
  <c r="AH80" i="8"/>
  <c r="AH81" i="8"/>
  <c r="AH82" i="8"/>
  <c r="AH77" i="8"/>
  <c r="AI74" i="8"/>
  <c r="AI67" i="8"/>
  <c r="AI25" i="8"/>
  <c r="AI26" i="8"/>
  <c r="AI68" i="8"/>
  <c r="AI69" i="8"/>
  <c r="AI41" i="8"/>
  <c r="AI27" i="8"/>
  <c r="AI34" i="8"/>
  <c r="AI35" i="8"/>
  <c r="AI42" i="8"/>
  <c r="AI43" i="8"/>
  <c r="AI44" i="8"/>
  <c r="AI45" i="8"/>
  <c r="AI46" i="8"/>
  <c r="AI50" i="8"/>
  <c r="AI51" i="8"/>
  <c r="AI71" i="8"/>
  <c r="AI72" i="8"/>
  <c r="AI75" i="8"/>
  <c r="AI76" i="8"/>
  <c r="AI79" i="8"/>
  <c r="AI80" i="8"/>
  <c r="AI81" i="8"/>
  <c r="AI82" i="8"/>
  <c r="AI77" i="8"/>
  <c r="AJ74" i="8"/>
  <c r="AJ67" i="8"/>
  <c r="AJ25" i="8"/>
  <c r="AJ26" i="8"/>
  <c r="AJ68" i="8"/>
  <c r="AJ69" i="8"/>
  <c r="AJ41" i="8"/>
  <c r="AJ27" i="8"/>
  <c r="AJ34" i="8"/>
  <c r="AJ35" i="8"/>
  <c r="AJ42" i="8"/>
  <c r="AJ43" i="8"/>
  <c r="AJ44" i="8"/>
  <c r="AJ45" i="8"/>
  <c r="AJ46" i="8"/>
  <c r="AJ50" i="8"/>
  <c r="AJ51" i="8"/>
  <c r="AJ71" i="8"/>
  <c r="AJ72" i="8"/>
  <c r="AJ75" i="8"/>
  <c r="AJ76" i="8"/>
  <c r="AJ79" i="8"/>
  <c r="AJ80" i="8"/>
  <c r="AJ81" i="8"/>
  <c r="AJ82" i="8"/>
  <c r="AJ77" i="8"/>
  <c r="AK74" i="8"/>
  <c r="AK67" i="8"/>
  <c r="AK25" i="8"/>
  <c r="AK26" i="8"/>
  <c r="AK68" i="8"/>
  <c r="AK69" i="8"/>
  <c r="AK41" i="8"/>
  <c r="AK27" i="8"/>
  <c r="AK34" i="8"/>
  <c r="AK35" i="8"/>
  <c r="AK42" i="8"/>
  <c r="AK43" i="8"/>
  <c r="AK44" i="8"/>
  <c r="AK45" i="8"/>
  <c r="AK46" i="8"/>
  <c r="AK50" i="8"/>
  <c r="AK51" i="8"/>
  <c r="AK71" i="8"/>
  <c r="AK72" i="8"/>
  <c r="AK75" i="8"/>
  <c r="AK76" i="8"/>
  <c r="AK79" i="8"/>
  <c r="AK80" i="8"/>
  <c r="AK81" i="8"/>
  <c r="AK82" i="8"/>
  <c r="AK77" i="8"/>
  <c r="AL74" i="8"/>
  <c r="AL67" i="8"/>
  <c r="AL25" i="8"/>
  <c r="AL26" i="8"/>
  <c r="AL68" i="8"/>
  <c r="AL69" i="8"/>
  <c r="AL41" i="8"/>
  <c r="AL27" i="8"/>
  <c r="AL34" i="8"/>
  <c r="AL35" i="8"/>
  <c r="AL42" i="8"/>
  <c r="AL43" i="8"/>
  <c r="AL44" i="8"/>
  <c r="AL45" i="8"/>
  <c r="AL46" i="8"/>
  <c r="AL50" i="8"/>
  <c r="AL51" i="8"/>
  <c r="AL71" i="8"/>
  <c r="AL72" i="8"/>
  <c r="AL75" i="8"/>
  <c r="AL76" i="8"/>
  <c r="AL79" i="8"/>
  <c r="AL80" i="8"/>
  <c r="AL81" i="8"/>
  <c r="AL82" i="8"/>
  <c r="AL77" i="8"/>
  <c r="AM74" i="8"/>
  <c r="AM67" i="8"/>
  <c r="AM25" i="8"/>
  <c r="AM26" i="8"/>
  <c r="AM68" i="8"/>
  <c r="AM69" i="8"/>
  <c r="AM41" i="8"/>
  <c r="AM27" i="8"/>
  <c r="AM34" i="8"/>
  <c r="AM35" i="8"/>
  <c r="AM42" i="8"/>
  <c r="AM43" i="8"/>
  <c r="AM44" i="8"/>
  <c r="AM45" i="8"/>
  <c r="AM46" i="8"/>
  <c r="AM50" i="8"/>
  <c r="AM51" i="8"/>
  <c r="AM71" i="8"/>
  <c r="AM72" i="8"/>
  <c r="AM75" i="8"/>
  <c r="AM76" i="8"/>
  <c r="AM79" i="8"/>
  <c r="AM80" i="8"/>
  <c r="AM81" i="8"/>
  <c r="AM82" i="8"/>
  <c r="AM77" i="8"/>
  <c r="AN74" i="8"/>
  <c r="AN67" i="8"/>
  <c r="AN25" i="8"/>
  <c r="AN26" i="8"/>
  <c r="AN68" i="8"/>
  <c r="AN69" i="8"/>
  <c r="AN41" i="8"/>
  <c r="AN27" i="8"/>
  <c r="AN34" i="8"/>
  <c r="AN35" i="8"/>
  <c r="AN42" i="8"/>
  <c r="AN43" i="8"/>
  <c r="AN44" i="8"/>
  <c r="AN45" i="8"/>
  <c r="AN46" i="8"/>
  <c r="AN50" i="8"/>
  <c r="AN51" i="8"/>
  <c r="AN71" i="8"/>
  <c r="AN72" i="8"/>
  <c r="AN75" i="8"/>
  <c r="AN76" i="8"/>
  <c r="AN79" i="8"/>
  <c r="AN80" i="8"/>
  <c r="AN81" i="8"/>
  <c r="AN82" i="8"/>
  <c r="AN77" i="8"/>
  <c r="AO74" i="8"/>
  <c r="AO67" i="8"/>
  <c r="AO25" i="8"/>
  <c r="AO26" i="8"/>
  <c r="AO68" i="8"/>
  <c r="AO69" i="8"/>
  <c r="AO41" i="8"/>
  <c r="AO27" i="8"/>
  <c r="AO34" i="8"/>
  <c r="AO35" i="8"/>
  <c r="AO42" i="8"/>
  <c r="AO43" i="8"/>
  <c r="AO44" i="8"/>
  <c r="AO45" i="8"/>
  <c r="AO46" i="8"/>
  <c r="AO50" i="8"/>
  <c r="AO51" i="8"/>
  <c r="AO71" i="8"/>
  <c r="AO72" i="8"/>
  <c r="AO75" i="8"/>
  <c r="AO76" i="8"/>
  <c r="AO79" i="8"/>
  <c r="AO80" i="8"/>
  <c r="AO81" i="8"/>
  <c r="AO82" i="8"/>
  <c r="AO77" i="8"/>
  <c r="AP74" i="8"/>
  <c r="AP67" i="8"/>
  <c r="AP25" i="8"/>
  <c r="AP26" i="8"/>
  <c r="AP68" i="8"/>
  <c r="AP69" i="8"/>
  <c r="AP41" i="8"/>
  <c r="AP27" i="8"/>
  <c r="AP34" i="8"/>
  <c r="AP35" i="8"/>
  <c r="AP42" i="8"/>
  <c r="AP43" i="8"/>
  <c r="AP44" i="8"/>
  <c r="AP45" i="8"/>
  <c r="AP46" i="8"/>
  <c r="AP50" i="8"/>
  <c r="AP51" i="8"/>
  <c r="AP71" i="8"/>
  <c r="AP72" i="8"/>
  <c r="AP75" i="8"/>
  <c r="AP76" i="8"/>
  <c r="AP79" i="8"/>
  <c r="AP80" i="8"/>
  <c r="AP81" i="8"/>
  <c r="AP82" i="8"/>
  <c r="AP77" i="8"/>
  <c r="AQ74" i="8"/>
  <c r="AQ67" i="8"/>
  <c r="AQ25" i="8"/>
  <c r="AQ26" i="8"/>
  <c r="AQ68" i="8"/>
  <c r="AQ69" i="8"/>
  <c r="AQ41" i="8"/>
  <c r="AQ27" i="8"/>
  <c r="AQ34" i="8"/>
  <c r="AQ35" i="8"/>
  <c r="AQ42" i="8"/>
  <c r="AQ43" i="8"/>
  <c r="AQ44" i="8"/>
  <c r="AQ45" i="8"/>
  <c r="AQ46" i="8"/>
  <c r="AQ50" i="8"/>
  <c r="AQ51" i="8"/>
  <c r="AQ71" i="8"/>
  <c r="AQ72" i="8"/>
  <c r="AQ75" i="8"/>
  <c r="AQ76" i="8"/>
  <c r="AQ79" i="8"/>
  <c r="AQ80" i="8"/>
  <c r="AQ81" i="8"/>
  <c r="AQ82" i="8"/>
  <c r="AQ77" i="8"/>
  <c r="AR74" i="8"/>
  <c r="AR67" i="8"/>
  <c r="AR25" i="8"/>
  <c r="AR26" i="8"/>
  <c r="AR68" i="8"/>
  <c r="AR69" i="8"/>
  <c r="AR41" i="8"/>
  <c r="AR27" i="8"/>
  <c r="AR34" i="8"/>
  <c r="AR35" i="8"/>
  <c r="AR42" i="8"/>
  <c r="AR43" i="8"/>
  <c r="AR44" i="8"/>
  <c r="AR45" i="8"/>
  <c r="AR46" i="8"/>
  <c r="AR50" i="8"/>
  <c r="AR51" i="8"/>
  <c r="AR71" i="8"/>
  <c r="AR72" i="8"/>
  <c r="AR75" i="8"/>
  <c r="AR76" i="8"/>
  <c r="AR79" i="8"/>
  <c r="AR80" i="8"/>
  <c r="AR81" i="8"/>
  <c r="AR82" i="8"/>
  <c r="AR77" i="8"/>
  <c r="AS74" i="8"/>
  <c r="AS67" i="8"/>
  <c r="AS25" i="8"/>
  <c r="AS26" i="8"/>
  <c r="AS68" i="8"/>
  <c r="AS69" i="8"/>
  <c r="AS41" i="8"/>
  <c r="AS27" i="8"/>
  <c r="AS34" i="8"/>
  <c r="AS35" i="8"/>
  <c r="AS42" i="8"/>
  <c r="AS43" i="8"/>
  <c r="AS44" i="8"/>
  <c r="AS45" i="8"/>
  <c r="AS46" i="8"/>
  <c r="AS50" i="8"/>
  <c r="AS51" i="8"/>
  <c r="AS71" i="8"/>
  <c r="AS72" i="8"/>
  <c r="AS75" i="8"/>
  <c r="AS76" i="8"/>
  <c r="AS79" i="8"/>
  <c r="AS80" i="8"/>
  <c r="AS81" i="8"/>
  <c r="AS82" i="8"/>
  <c r="AS77" i="8"/>
  <c r="AT74" i="8"/>
  <c r="AT67" i="8"/>
  <c r="AT25" i="8"/>
  <c r="AT26" i="8"/>
  <c r="AT68" i="8"/>
  <c r="AT69" i="8"/>
  <c r="AT41" i="8"/>
  <c r="AT27" i="8"/>
  <c r="AT34" i="8"/>
  <c r="AT35" i="8"/>
  <c r="AT42" i="8"/>
  <c r="AT43" i="8"/>
  <c r="AT44" i="8"/>
  <c r="AT45" i="8"/>
  <c r="AT46" i="8"/>
  <c r="AT50" i="8"/>
  <c r="AT51" i="8"/>
  <c r="AT71" i="8"/>
  <c r="AT72" i="8"/>
  <c r="AT75" i="8"/>
  <c r="AT76" i="8"/>
  <c r="AT79" i="8"/>
  <c r="AT80" i="8"/>
  <c r="AT81" i="8"/>
  <c r="AT82" i="8"/>
  <c r="AT77" i="8"/>
  <c r="AU74" i="8"/>
  <c r="AU67" i="8"/>
  <c r="AU25" i="8"/>
  <c r="AU26" i="8"/>
  <c r="AU68" i="8"/>
  <c r="AU69" i="8"/>
  <c r="AU41" i="8"/>
  <c r="AU27" i="8"/>
  <c r="AU34" i="8"/>
  <c r="AU35" i="8"/>
  <c r="AU42" i="8"/>
  <c r="AU43" i="8"/>
  <c r="AU44" i="8"/>
  <c r="AU45" i="8"/>
  <c r="AU46" i="8"/>
  <c r="AU50" i="8"/>
  <c r="AU51" i="8"/>
  <c r="AU71" i="8"/>
  <c r="AU72" i="8"/>
  <c r="AU75" i="8"/>
  <c r="AU76" i="8"/>
  <c r="AU79" i="8"/>
  <c r="AU80" i="8"/>
  <c r="AU81" i="8"/>
  <c r="AU82" i="8"/>
  <c r="AU77" i="8"/>
  <c r="AV74" i="8"/>
  <c r="AV67" i="8"/>
  <c r="AV25" i="8"/>
  <c r="AV26" i="8"/>
  <c r="AV68" i="8"/>
  <c r="AV69" i="8"/>
  <c r="AV41" i="8"/>
  <c r="AV27" i="8"/>
  <c r="AV34" i="8"/>
  <c r="AV35" i="8"/>
  <c r="AV42" i="8"/>
  <c r="AV43" i="8"/>
  <c r="AV44" i="8"/>
  <c r="AV45" i="8"/>
  <c r="AV46" i="8"/>
  <c r="AV50" i="8"/>
  <c r="AV51" i="8"/>
  <c r="AV71" i="8"/>
  <c r="AV72" i="8"/>
  <c r="AV75" i="8"/>
  <c r="AV76" i="8"/>
  <c r="AV79" i="8"/>
  <c r="AV80" i="8"/>
  <c r="AV81" i="8"/>
  <c r="AV82" i="8"/>
  <c r="AV77" i="8"/>
  <c r="AW74" i="8"/>
  <c r="AW67" i="8"/>
  <c r="AW25" i="8"/>
  <c r="AW26" i="8"/>
  <c r="AW68" i="8"/>
  <c r="AW69" i="8"/>
  <c r="AW41" i="8"/>
  <c r="AW27" i="8"/>
  <c r="AW34" i="8"/>
  <c r="AW35" i="8"/>
  <c r="AW42" i="8"/>
  <c r="AW43" i="8"/>
  <c r="AW44" i="8"/>
  <c r="AW45" i="8"/>
  <c r="AW46" i="8"/>
  <c r="AW50" i="8"/>
  <c r="AW51" i="8"/>
  <c r="AW71" i="8"/>
  <c r="AW72" i="8"/>
  <c r="AW75" i="8"/>
  <c r="AW76" i="8"/>
  <c r="AW79" i="8"/>
  <c r="AW80" i="8"/>
  <c r="AW81" i="8"/>
  <c r="AW82" i="8"/>
  <c r="AW77" i="8"/>
  <c r="AX74" i="8"/>
  <c r="AX67" i="8"/>
  <c r="AX25" i="8"/>
  <c r="AX26" i="8"/>
  <c r="AX68" i="8"/>
  <c r="AX69" i="8"/>
  <c r="AX41" i="8"/>
  <c r="AX27" i="8"/>
  <c r="AX34" i="8"/>
  <c r="AX35" i="8"/>
  <c r="AX42" i="8"/>
  <c r="AX43" i="8"/>
  <c r="AX44" i="8"/>
  <c r="AX45" i="8"/>
  <c r="AX46" i="8"/>
  <c r="AX50" i="8"/>
  <c r="AX51" i="8"/>
  <c r="AX71" i="8"/>
  <c r="AX72" i="8"/>
  <c r="AX75" i="8"/>
  <c r="AX76" i="8"/>
  <c r="AX79" i="8"/>
  <c r="AX80" i="8"/>
  <c r="AX81" i="8"/>
  <c r="AX82" i="8"/>
  <c r="AX77" i="8"/>
  <c r="AY74" i="8"/>
  <c r="AY67" i="8"/>
  <c r="AY25" i="8"/>
  <c r="AY26" i="8"/>
  <c r="AY68" i="8"/>
  <c r="AY69" i="8"/>
  <c r="AY41" i="8"/>
  <c r="AY27" i="8"/>
  <c r="AY34" i="8"/>
  <c r="AY35" i="8"/>
  <c r="AY44" i="8"/>
  <c r="AY45" i="8"/>
  <c r="AY46" i="8"/>
  <c r="AY50" i="8"/>
  <c r="AY51" i="8"/>
  <c r="AY71" i="8"/>
  <c r="AY72" i="8"/>
  <c r="AY75" i="8"/>
  <c r="AY76" i="8"/>
  <c r="AY79" i="8"/>
  <c r="AY80" i="8"/>
  <c r="AY81" i="8"/>
  <c r="AY82" i="8"/>
  <c r="D76" i="8"/>
  <c r="D79" i="8"/>
  <c r="D80" i="8"/>
  <c r="D81" i="8"/>
  <c r="D82" i="8"/>
  <c r="C79" i="8"/>
  <c r="B79" i="8"/>
  <c r="A79" i="8"/>
  <c r="C149" i="6"/>
  <c r="C67" i="8"/>
  <c r="B149" i="6"/>
  <c r="B67" i="8"/>
  <c r="A67" i="8"/>
  <c r="J39" i="8"/>
  <c r="K39" i="8"/>
  <c r="L39" i="8"/>
  <c r="M39" i="8"/>
  <c r="N39" i="8"/>
  <c r="O39" i="8"/>
  <c r="D86" i="8"/>
  <c r="E86" i="8"/>
  <c r="F86" i="8"/>
  <c r="G86" i="8"/>
  <c r="H86" i="8"/>
  <c r="I86" i="8"/>
  <c r="J86" i="8"/>
  <c r="K86" i="8"/>
  <c r="L86" i="8"/>
  <c r="M86" i="8"/>
  <c r="N86" i="8"/>
  <c r="O86" i="8"/>
  <c r="P86" i="8"/>
  <c r="Q86" i="8"/>
  <c r="R86" i="8"/>
  <c r="S86" i="8"/>
  <c r="T86" i="8"/>
  <c r="U86" i="8"/>
  <c r="V86" i="8"/>
  <c r="W86" i="8"/>
  <c r="X86" i="8"/>
  <c r="Y86" i="8"/>
  <c r="Z86" i="8"/>
  <c r="AA86" i="8"/>
  <c r="AB86" i="8"/>
  <c r="AC86" i="8"/>
  <c r="AD86" i="8"/>
  <c r="AE86" i="8"/>
  <c r="AF86" i="8"/>
  <c r="AG86" i="8"/>
  <c r="AH86" i="8"/>
  <c r="AI86" i="8"/>
  <c r="AJ86" i="8"/>
  <c r="AK86" i="8"/>
  <c r="AL86" i="8"/>
  <c r="AM86" i="8"/>
  <c r="AN86" i="8"/>
  <c r="AO86" i="8"/>
  <c r="AP86" i="8"/>
  <c r="AQ86" i="8"/>
  <c r="AR86" i="8"/>
  <c r="AS86" i="8"/>
  <c r="AT86" i="8"/>
  <c r="AU86" i="8"/>
  <c r="AV86" i="8"/>
  <c r="AW86" i="8"/>
  <c r="AX86" i="8"/>
  <c r="AY86" i="8"/>
  <c r="C86" i="8"/>
  <c r="C82" i="8"/>
  <c r="C80" i="8"/>
  <c r="C76" i="8"/>
  <c r="C72" i="8"/>
  <c r="C71" i="8"/>
  <c r="C69" i="8"/>
  <c r="D57" i="8"/>
  <c r="D58" i="8"/>
  <c r="D59" i="8"/>
  <c r="D56" i="8"/>
  <c r="D60" i="8"/>
  <c r="E57" i="8"/>
  <c r="E58" i="8"/>
  <c r="E59" i="8"/>
  <c r="E56" i="8"/>
  <c r="E60" i="8"/>
  <c r="F57" i="8"/>
  <c r="F58" i="8"/>
  <c r="F59" i="8"/>
  <c r="F56" i="8"/>
  <c r="F60" i="8"/>
  <c r="G57" i="8"/>
  <c r="G58" i="8"/>
  <c r="G59" i="8"/>
  <c r="G56" i="8"/>
  <c r="G60" i="8"/>
  <c r="H57" i="8"/>
  <c r="H58" i="8"/>
  <c r="H59" i="8"/>
  <c r="H56" i="8"/>
  <c r="H60" i="8"/>
  <c r="I57" i="8"/>
  <c r="I58" i="8"/>
  <c r="I59" i="8"/>
  <c r="I56" i="8"/>
  <c r="I60" i="8"/>
  <c r="J57" i="8"/>
  <c r="J58" i="8"/>
  <c r="J59" i="8"/>
  <c r="J56" i="8"/>
  <c r="J60" i="8"/>
  <c r="K57" i="8"/>
  <c r="K58" i="8"/>
  <c r="K59" i="8"/>
  <c r="K56" i="8"/>
  <c r="K60" i="8"/>
  <c r="L57" i="8"/>
  <c r="L58" i="8"/>
  <c r="L59" i="8"/>
  <c r="L56" i="8"/>
  <c r="L60" i="8"/>
  <c r="M57" i="8"/>
  <c r="M58" i="8"/>
  <c r="M59" i="8"/>
  <c r="M56" i="8"/>
  <c r="M60" i="8"/>
  <c r="N57" i="8"/>
  <c r="N58" i="8"/>
  <c r="N59" i="8"/>
  <c r="N56" i="8"/>
  <c r="N60" i="8"/>
  <c r="O57" i="8"/>
  <c r="O58" i="8"/>
  <c r="O59" i="8"/>
  <c r="O56" i="8"/>
  <c r="O60" i="8"/>
  <c r="P57" i="8"/>
  <c r="P58" i="8"/>
  <c r="P59" i="8"/>
  <c r="P56" i="8"/>
  <c r="P60" i="8"/>
  <c r="Q57" i="8"/>
  <c r="Q58" i="8"/>
  <c r="Q59" i="8"/>
  <c r="Q56" i="8"/>
  <c r="Q60" i="8"/>
  <c r="R57" i="8"/>
  <c r="R58" i="8"/>
  <c r="R59" i="8"/>
  <c r="R56" i="8"/>
  <c r="R60" i="8"/>
  <c r="S57" i="8"/>
  <c r="S58" i="8"/>
  <c r="S59" i="8"/>
  <c r="S56" i="8"/>
  <c r="S60" i="8"/>
  <c r="T57" i="8"/>
  <c r="T58" i="8"/>
  <c r="T59" i="8"/>
  <c r="T56" i="8"/>
  <c r="T60" i="8"/>
  <c r="U57" i="8"/>
  <c r="U58" i="8"/>
  <c r="U59" i="8"/>
  <c r="U56" i="8"/>
  <c r="U60" i="8"/>
  <c r="V57" i="8"/>
  <c r="V58" i="8"/>
  <c r="V59" i="8"/>
  <c r="V56" i="8"/>
  <c r="V60" i="8"/>
  <c r="W57" i="8"/>
  <c r="W58" i="8"/>
  <c r="W59" i="8"/>
  <c r="W56" i="8"/>
  <c r="W60" i="8"/>
  <c r="X57" i="8"/>
  <c r="X58" i="8"/>
  <c r="X59" i="8"/>
  <c r="X56" i="8"/>
  <c r="X60" i="8"/>
  <c r="Y57" i="8"/>
  <c r="Y58" i="8"/>
  <c r="Y59" i="8"/>
  <c r="Y56" i="8"/>
  <c r="Y60" i="8"/>
  <c r="Z57" i="8"/>
  <c r="Z58" i="8"/>
  <c r="Z59" i="8"/>
  <c r="Z56" i="8"/>
  <c r="Z60" i="8"/>
  <c r="AA57" i="8"/>
  <c r="AA58" i="8"/>
  <c r="AA59" i="8"/>
  <c r="AA56" i="8"/>
  <c r="AA60" i="8"/>
  <c r="AB57" i="8"/>
  <c r="AB58" i="8"/>
  <c r="AB59" i="8"/>
  <c r="AB56" i="8"/>
  <c r="AB60" i="8"/>
  <c r="AC57" i="8"/>
  <c r="AC58" i="8"/>
  <c r="AC59" i="8"/>
  <c r="AC56" i="8"/>
  <c r="AC60" i="8"/>
  <c r="AD57" i="8"/>
  <c r="AD58" i="8"/>
  <c r="AD59" i="8"/>
  <c r="AD56" i="8"/>
  <c r="AD60" i="8"/>
  <c r="AE57" i="8"/>
  <c r="AE58" i="8"/>
  <c r="AE59" i="8"/>
  <c r="AE56" i="8"/>
  <c r="AE60" i="8"/>
  <c r="AF57" i="8"/>
  <c r="AF58" i="8"/>
  <c r="AF59" i="8"/>
  <c r="AF56" i="8"/>
  <c r="AF60" i="8"/>
  <c r="AG57" i="8"/>
  <c r="AG58" i="8"/>
  <c r="AG59" i="8"/>
  <c r="AG56" i="8"/>
  <c r="AG60" i="8"/>
  <c r="AH57" i="8"/>
  <c r="AH58" i="8"/>
  <c r="AH59" i="8"/>
  <c r="AH56" i="8"/>
  <c r="AH60" i="8"/>
  <c r="AI57" i="8"/>
  <c r="AI58" i="8"/>
  <c r="AI59" i="8"/>
  <c r="AI56" i="8"/>
  <c r="AI60" i="8"/>
  <c r="AJ57" i="8"/>
  <c r="AJ58" i="8"/>
  <c r="AJ59" i="8"/>
  <c r="AJ56" i="8"/>
  <c r="AJ60" i="8"/>
  <c r="AK57" i="8"/>
  <c r="AK58" i="8"/>
  <c r="AK59" i="8"/>
  <c r="AK56" i="8"/>
  <c r="AK60" i="8"/>
  <c r="AL57" i="8"/>
  <c r="AL58" i="8"/>
  <c r="AL59" i="8"/>
  <c r="AL56" i="8"/>
  <c r="AL60" i="8"/>
  <c r="AM57" i="8"/>
  <c r="AM58" i="8"/>
  <c r="AM59" i="8"/>
  <c r="AM56" i="8"/>
  <c r="AM60" i="8"/>
  <c r="AN57" i="8"/>
  <c r="AN58" i="8"/>
  <c r="AN59" i="8"/>
  <c r="AN56" i="8"/>
  <c r="AN60" i="8"/>
  <c r="AO57" i="8"/>
  <c r="AO58" i="8"/>
  <c r="AO59" i="8"/>
  <c r="AO56" i="8"/>
  <c r="AO60" i="8"/>
  <c r="AP57" i="8"/>
  <c r="AP58" i="8"/>
  <c r="AP59" i="8"/>
  <c r="AP56" i="8"/>
  <c r="AP60" i="8"/>
  <c r="AQ57" i="8"/>
  <c r="AQ58" i="8"/>
  <c r="AQ59" i="8"/>
  <c r="AQ56" i="8"/>
  <c r="AQ60" i="8"/>
  <c r="AR57" i="8"/>
  <c r="AR58" i="8"/>
  <c r="AR59" i="8"/>
  <c r="AR56" i="8"/>
  <c r="AR60" i="8"/>
  <c r="AS57" i="8"/>
  <c r="AS58" i="8"/>
  <c r="AS59" i="8"/>
  <c r="AS56" i="8"/>
  <c r="AS60" i="8"/>
  <c r="AT57" i="8"/>
  <c r="AT58" i="8"/>
  <c r="AT59" i="8"/>
  <c r="AT56" i="8"/>
  <c r="AT60" i="8"/>
  <c r="AU57" i="8"/>
  <c r="AU58" i="8"/>
  <c r="AU59" i="8"/>
  <c r="AU56" i="8"/>
  <c r="AU60" i="8"/>
  <c r="AV57" i="8"/>
  <c r="AV58" i="8"/>
  <c r="AV59" i="8"/>
  <c r="AV56" i="8"/>
  <c r="AV60" i="8"/>
  <c r="AW57" i="8"/>
  <c r="AW58" i="8"/>
  <c r="AW59" i="8"/>
  <c r="AW56" i="8"/>
  <c r="AW60" i="8"/>
  <c r="AX57" i="8"/>
  <c r="AX58" i="8"/>
  <c r="AX59" i="8"/>
  <c r="AX56" i="8"/>
  <c r="AX60" i="8"/>
  <c r="AY57" i="8"/>
  <c r="AY58" i="8"/>
  <c r="AY59" i="8"/>
  <c r="AY56" i="8"/>
  <c r="AY60" i="8"/>
  <c r="C60" i="8"/>
  <c r="C59" i="8"/>
  <c r="C58" i="8"/>
  <c r="C57" i="8"/>
  <c r="C56" i="8"/>
  <c r="C51" i="8"/>
  <c r="C45" i="8"/>
  <c r="C44" i="8"/>
  <c r="C35" i="8"/>
  <c r="C34" i="8"/>
  <c r="D29" i="8"/>
  <c r="E29" i="8"/>
  <c r="F29" i="8"/>
  <c r="G29" i="8"/>
  <c r="H29" i="8"/>
  <c r="I29" i="8"/>
  <c r="J29" i="8"/>
  <c r="K29" i="8"/>
  <c r="L29" i="8"/>
  <c r="M29" i="8"/>
  <c r="N29" i="8"/>
  <c r="O29" i="8"/>
  <c r="P29" i="8"/>
  <c r="Q29" i="8"/>
  <c r="R29" i="8"/>
  <c r="S29" i="8"/>
  <c r="T29" i="8"/>
  <c r="U29" i="8"/>
  <c r="V29" i="8"/>
  <c r="W29" i="8"/>
  <c r="X29" i="8"/>
  <c r="Y29" i="8"/>
  <c r="Z29" i="8"/>
  <c r="AA29" i="8"/>
  <c r="AB29" i="8"/>
  <c r="AC29" i="8"/>
  <c r="AD29" i="8"/>
  <c r="AE29" i="8"/>
  <c r="AF29" i="8"/>
  <c r="AG29" i="8"/>
  <c r="AH29" i="8"/>
  <c r="AI29" i="8"/>
  <c r="AJ29" i="8"/>
  <c r="AK29" i="8"/>
  <c r="AL29" i="8"/>
  <c r="AM29" i="8"/>
  <c r="AN29" i="8"/>
  <c r="AO29" i="8"/>
  <c r="AP29" i="8"/>
  <c r="AQ29" i="8"/>
  <c r="AR29" i="8"/>
  <c r="AS29" i="8"/>
  <c r="AT29" i="8"/>
  <c r="AU29" i="8"/>
  <c r="AV29" i="8"/>
  <c r="AW29" i="8"/>
  <c r="AX29" i="8"/>
  <c r="AY29" i="8"/>
  <c r="C29" i="8"/>
  <c r="C27" i="8"/>
  <c r="AY77" i="8"/>
  <c r="D61" i="8"/>
  <c r="E55" i="8"/>
  <c r="E61" i="8"/>
  <c r="F55" i="8"/>
  <c r="F61" i="8"/>
  <c r="G55" i="8"/>
  <c r="G61" i="8"/>
  <c r="H55" i="8"/>
  <c r="H61" i="8"/>
  <c r="I55" i="8"/>
  <c r="I61" i="8"/>
  <c r="J55" i="8"/>
  <c r="J61" i="8"/>
  <c r="K55" i="8"/>
  <c r="K61" i="8"/>
  <c r="L55" i="8"/>
  <c r="L61" i="8"/>
  <c r="M55" i="8"/>
  <c r="M61" i="8"/>
  <c r="N55" i="8"/>
  <c r="N61" i="8"/>
  <c r="O55" i="8"/>
  <c r="O61" i="8"/>
  <c r="P55" i="8"/>
  <c r="P61" i="8"/>
  <c r="Q55" i="8"/>
  <c r="Q61" i="8"/>
  <c r="R55" i="8"/>
  <c r="R61" i="8"/>
  <c r="S55" i="8"/>
  <c r="S61" i="8"/>
  <c r="T55" i="8"/>
  <c r="T61" i="8"/>
  <c r="U55" i="8"/>
  <c r="U61" i="8"/>
  <c r="V55" i="8"/>
  <c r="V61" i="8"/>
  <c r="W55" i="8"/>
  <c r="W61" i="8"/>
  <c r="X55" i="8"/>
  <c r="X61" i="8"/>
  <c r="Y55" i="8"/>
  <c r="Y61" i="8"/>
  <c r="Z55" i="8"/>
  <c r="Z61" i="8"/>
  <c r="AA55" i="8"/>
  <c r="AA61" i="8"/>
  <c r="AB55" i="8"/>
  <c r="AB61" i="8"/>
  <c r="AC55" i="8"/>
  <c r="AC61" i="8"/>
  <c r="AD55" i="8"/>
  <c r="AD61" i="8"/>
  <c r="AE55" i="8"/>
  <c r="AE61" i="8"/>
  <c r="AF55" i="8"/>
  <c r="AF61" i="8"/>
  <c r="AG55" i="8"/>
  <c r="AG61" i="8"/>
  <c r="AH55" i="8"/>
  <c r="AH61" i="8"/>
  <c r="AI55" i="8"/>
  <c r="AI61" i="8"/>
  <c r="AJ55" i="8"/>
  <c r="AJ61" i="8"/>
  <c r="AK55" i="8"/>
  <c r="AK61" i="8"/>
  <c r="AL55" i="8"/>
  <c r="AL61" i="8"/>
  <c r="AM55" i="8"/>
  <c r="AM61" i="8"/>
  <c r="AN55" i="8"/>
  <c r="AN61" i="8"/>
  <c r="AO55" i="8"/>
  <c r="AO61" i="8"/>
  <c r="AP55" i="8"/>
  <c r="AP61" i="8"/>
  <c r="AQ55" i="8"/>
  <c r="AQ61" i="8"/>
  <c r="AR55" i="8"/>
  <c r="AR61" i="8"/>
  <c r="AS55" i="8"/>
  <c r="AS61" i="8"/>
  <c r="AT55" i="8"/>
  <c r="AT61" i="8"/>
  <c r="AU55" i="8"/>
  <c r="AU61" i="8"/>
  <c r="AV55" i="8"/>
  <c r="AV61" i="8"/>
  <c r="AW55" i="8"/>
  <c r="AW61" i="8"/>
  <c r="AX55" i="8"/>
  <c r="AX61" i="8"/>
  <c r="AY55" i="8"/>
  <c r="AY61" i="8"/>
  <c r="AY43" i="8"/>
  <c r="AY42"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AM33" i="8"/>
  <c r="AN33" i="8"/>
  <c r="AO33" i="8"/>
  <c r="AP33" i="8"/>
  <c r="AQ33" i="8"/>
  <c r="AR33" i="8"/>
  <c r="AS33" i="8"/>
  <c r="AT33" i="8"/>
  <c r="AU33" i="8"/>
  <c r="AV33" i="8"/>
  <c r="AW33" i="8"/>
  <c r="AX33" i="8"/>
  <c r="AY33" i="8"/>
  <c r="AY21" i="8"/>
  <c r="AX21" i="8"/>
  <c r="AW21" i="8"/>
  <c r="AV21" i="8"/>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R21" i="8"/>
  <c r="Q21" i="8"/>
  <c r="P21" i="8"/>
  <c r="AY18" i="8"/>
  <c r="AX18" i="8"/>
  <c r="AW18" i="8"/>
  <c r="AV18" i="8"/>
  <c r="AU18" i="8"/>
  <c r="AT18" i="8"/>
  <c r="AS18" i="8"/>
  <c r="AR18" i="8"/>
  <c r="AQ18" i="8"/>
  <c r="AP18" i="8"/>
  <c r="AO18" i="8"/>
  <c r="AN18" i="8"/>
  <c r="AM18" i="8"/>
  <c r="AL18" i="8"/>
  <c r="AK18" i="8"/>
  <c r="AJ18" i="8"/>
  <c r="AI18" i="8"/>
  <c r="AH18" i="8"/>
  <c r="AG18" i="8"/>
  <c r="AF18" i="8"/>
  <c r="AE18" i="8"/>
  <c r="AD18" i="8"/>
  <c r="AC18" i="8"/>
  <c r="AB18" i="8"/>
  <c r="AA18" i="8"/>
  <c r="Z18" i="8"/>
  <c r="Y18" i="8"/>
  <c r="X18" i="8"/>
  <c r="W18" i="8"/>
  <c r="V18" i="8"/>
  <c r="U18" i="8"/>
  <c r="T18" i="8"/>
  <c r="S18" i="8"/>
  <c r="R18" i="8"/>
  <c r="Q18" i="8"/>
  <c r="P18" i="8"/>
  <c r="C159" i="6"/>
  <c r="C118" i="6"/>
  <c r="C82" i="6"/>
  <c r="C72" i="6"/>
  <c r="O21" i="8"/>
  <c r="N21" i="8"/>
  <c r="M21" i="8"/>
  <c r="L21" i="8"/>
  <c r="K21" i="8"/>
  <c r="J21" i="8"/>
  <c r="I21" i="8"/>
  <c r="H21" i="8"/>
  <c r="G21" i="8"/>
  <c r="F21" i="8"/>
  <c r="E21" i="8"/>
  <c r="D21" i="8"/>
  <c r="C67" i="6"/>
  <c r="C21" i="8"/>
  <c r="B21" i="8"/>
  <c r="A21" i="8"/>
  <c r="O18" i="8"/>
  <c r="N18" i="8"/>
  <c r="M18" i="8"/>
  <c r="L18" i="8"/>
  <c r="K18" i="8"/>
  <c r="J18" i="8"/>
  <c r="I18" i="8"/>
  <c r="H18" i="8"/>
  <c r="G18" i="8"/>
  <c r="F18" i="8"/>
  <c r="E18" i="8"/>
  <c r="D18" i="8"/>
  <c r="C18" i="8"/>
  <c r="B18" i="8"/>
  <c r="A18" i="8"/>
  <c r="A34" i="8"/>
  <c r="A56" i="8"/>
  <c r="B56" i="8"/>
  <c r="A57" i="8"/>
  <c r="B57" i="8"/>
  <c r="A58" i="8"/>
  <c r="B58" i="8"/>
  <c r="A59" i="8"/>
  <c r="B59" i="8"/>
  <c r="A68" i="8"/>
  <c r="A71" i="8"/>
  <c r="B71" i="8"/>
  <c r="B75" i="8"/>
  <c r="B76" i="8"/>
  <c r="B77" i="8"/>
  <c r="A81" i="8"/>
  <c r="B86" i="8"/>
  <c r="A1" i="6"/>
  <c r="C91" i="6"/>
  <c r="AY157" i="6"/>
  <c r="AY141" i="6"/>
  <c r="D169" i="6"/>
  <c r="D175" i="6"/>
  <c r="D176" i="6"/>
  <c r="D177" i="6"/>
  <c r="B138" i="6"/>
  <c r="A5" i="6"/>
  <c r="A99" i="6"/>
  <c r="AY179" i="6"/>
  <c r="AX179" i="6"/>
  <c r="AW179" i="6"/>
  <c r="AV179" i="6"/>
  <c r="AU179" i="6"/>
  <c r="AT179" i="6"/>
  <c r="AS179" i="6"/>
  <c r="AR179" i="6"/>
  <c r="AQ179" i="6"/>
  <c r="AP179" i="6"/>
  <c r="AO179" i="6"/>
  <c r="AN179" i="6"/>
  <c r="AM179" i="6"/>
  <c r="AL179" i="6"/>
  <c r="AK179" i="6"/>
  <c r="AJ179" i="6"/>
  <c r="AI179" i="6"/>
  <c r="AH179" i="6"/>
  <c r="AG179" i="6"/>
  <c r="AF179" i="6"/>
  <c r="AE179" i="6"/>
  <c r="AD179" i="6"/>
  <c r="AC179" i="6"/>
  <c r="AB179" i="6"/>
  <c r="AA179" i="6"/>
  <c r="Z179" i="6"/>
  <c r="Y179" i="6"/>
  <c r="X179" i="6"/>
  <c r="W179" i="6"/>
  <c r="V179" i="6"/>
  <c r="U179" i="6"/>
  <c r="T179" i="6"/>
  <c r="S179" i="6"/>
  <c r="R179" i="6"/>
  <c r="Q179" i="6"/>
  <c r="P179" i="6"/>
  <c r="O179" i="6"/>
  <c r="N179" i="6"/>
  <c r="M179" i="6"/>
  <c r="L179" i="6"/>
  <c r="K179" i="6"/>
  <c r="J179" i="6"/>
  <c r="I179" i="6"/>
  <c r="H179" i="6"/>
  <c r="G179" i="6"/>
  <c r="F179" i="6"/>
  <c r="E179" i="6"/>
  <c r="D179" i="6"/>
  <c r="C179" i="6"/>
  <c r="B179" i="6"/>
  <c r="A179" i="6"/>
  <c r="C80" i="6"/>
  <c r="C69" i="6"/>
  <c r="C68" i="6"/>
  <c r="E174" i="6"/>
  <c r="E175" i="6"/>
  <c r="E176" i="6"/>
  <c r="F174" i="6"/>
  <c r="F175" i="6"/>
  <c r="F176" i="6"/>
  <c r="G174" i="6"/>
  <c r="G175" i="6"/>
  <c r="G176" i="6"/>
  <c r="H174" i="6"/>
  <c r="H175" i="6"/>
  <c r="H176" i="6"/>
  <c r="I174" i="6"/>
  <c r="I175" i="6"/>
  <c r="I176" i="6"/>
  <c r="J174" i="6"/>
  <c r="J175" i="6"/>
  <c r="J176" i="6"/>
  <c r="K174" i="6"/>
  <c r="K175" i="6"/>
  <c r="K176" i="6"/>
  <c r="L174" i="6"/>
  <c r="L175" i="6"/>
  <c r="L176" i="6"/>
  <c r="M174" i="6"/>
  <c r="M175" i="6"/>
  <c r="M176" i="6"/>
  <c r="N174" i="6"/>
  <c r="N175" i="6"/>
  <c r="N176" i="6"/>
  <c r="O174" i="6"/>
  <c r="O175" i="6"/>
  <c r="O176" i="6"/>
  <c r="P174" i="6"/>
  <c r="P175" i="6"/>
  <c r="P176" i="6"/>
  <c r="Q174" i="6"/>
  <c r="Q175" i="6"/>
  <c r="Q176" i="6"/>
  <c r="R174" i="6"/>
  <c r="R175" i="6"/>
  <c r="R176" i="6"/>
  <c r="S174" i="6"/>
  <c r="S175" i="6"/>
  <c r="S176" i="6"/>
  <c r="T174" i="6"/>
  <c r="T175" i="6"/>
  <c r="T176" i="6"/>
  <c r="U174" i="6"/>
  <c r="U175" i="6"/>
  <c r="U176" i="6"/>
  <c r="V174" i="6"/>
  <c r="V175" i="6"/>
  <c r="V176" i="6"/>
  <c r="W174" i="6"/>
  <c r="W175" i="6"/>
  <c r="W176" i="6"/>
  <c r="X174" i="6"/>
  <c r="X175" i="6"/>
  <c r="X176" i="6"/>
  <c r="Y174" i="6"/>
  <c r="Y175" i="6"/>
  <c r="Y176" i="6"/>
  <c r="Z174" i="6"/>
  <c r="Z175" i="6"/>
  <c r="Z176" i="6"/>
  <c r="AA174" i="6"/>
  <c r="AA175" i="6"/>
  <c r="AA176" i="6"/>
  <c r="AB174" i="6"/>
  <c r="AB175" i="6"/>
  <c r="AB176" i="6"/>
  <c r="AC174" i="6"/>
  <c r="AC175" i="6"/>
  <c r="AC176" i="6"/>
  <c r="AD174" i="6"/>
  <c r="AD175" i="6"/>
  <c r="AD176" i="6"/>
  <c r="AE174" i="6"/>
  <c r="AE175" i="6"/>
  <c r="AE176" i="6"/>
  <c r="AF174" i="6"/>
  <c r="AF175" i="6"/>
  <c r="AF176" i="6"/>
  <c r="AG174" i="6"/>
  <c r="AG175" i="6"/>
  <c r="AG176" i="6"/>
  <c r="AH174" i="6"/>
  <c r="AH175" i="6"/>
  <c r="AH176" i="6"/>
  <c r="AI174" i="6"/>
  <c r="AI175" i="6"/>
  <c r="AI176" i="6"/>
  <c r="AJ174" i="6"/>
  <c r="AJ175" i="6"/>
  <c r="AJ176" i="6"/>
  <c r="AK174" i="6"/>
  <c r="AK175" i="6"/>
  <c r="AK176" i="6"/>
  <c r="AL174" i="6"/>
  <c r="AL175" i="6"/>
  <c r="AL176" i="6"/>
  <c r="AM174" i="6"/>
  <c r="AM175" i="6"/>
  <c r="AM176" i="6"/>
  <c r="AN174" i="6"/>
  <c r="AN175" i="6"/>
  <c r="AN176" i="6"/>
  <c r="AO174" i="6"/>
  <c r="AO175" i="6"/>
  <c r="AO176" i="6"/>
  <c r="AP174" i="6"/>
  <c r="AP175" i="6"/>
  <c r="AP176" i="6"/>
  <c r="AQ174" i="6"/>
  <c r="AQ175" i="6"/>
  <c r="AQ176" i="6"/>
  <c r="AR174" i="6"/>
  <c r="AR175" i="6"/>
  <c r="AR176" i="6"/>
  <c r="AS174" i="6"/>
  <c r="AS175" i="6"/>
  <c r="AS176" i="6"/>
  <c r="AT174" i="6"/>
  <c r="AT175" i="6"/>
  <c r="AT176" i="6"/>
  <c r="AU174" i="6"/>
  <c r="AU175" i="6"/>
  <c r="AU176" i="6"/>
  <c r="AV174" i="6"/>
  <c r="AV175" i="6"/>
  <c r="AV176" i="6"/>
  <c r="AW174" i="6"/>
  <c r="AW175" i="6"/>
  <c r="AW176" i="6"/>
  <c r="AX174" i="6"/>
  <c r="AX175" i="6"/>
  <c r="AX176" i="6"/>
  <c r="AY174" i="6"/>
  <c r="AY175" i="6"/>
  <c r="AY176" i="6"/>
  <c r="C178" i="6"/>
  <c r="C6" i="6"/>
  <c r="B6" i="6"/>
  <c r="A6" i="6"/>
  <c r="B137" i="6"/>
  <c r="A137" i="6"/>
  <c r="C137" i="6"/>
  <c r="B147" i="6"/>
  <c r="A147" i="6"/>
  <c r="C77" i="6"/>
  <c r="C78" i="6"/>
  <c r="C79" i="6"/>
  <c r="C81" i="6"/>
  <c r="C76" i="6"/>
  <c r="AY182" i="6"/>
  <c r="AX182" i="6"/>
  <c r="AW182" i="6"/>
  <c r="AV182" i="6"/>
  <c r="AU182" i="6"/>
  <c r="AT182" i="6"/>
  <c r="AS182" i="6"/>
  <c r="AR182" i="6"/>
  <c r="AQ182" i="6"/>
  <c r="AP182" i="6"/>
  <c r="AO182" i="6"/>
  <c r="AN182" i="6"/>
  <c r="AM182" i="6"/>
  <c r="AL182" i="6"/>
  <c r="AK182" i="6"/>
  <c r="AY162" i="6"/>
  <c r="AX162" i="6"/>
  <c r="AW162" i="6"/>
  <c r="AV162" i="6"/>
  <c r="AU162" i="6"/>
  <c r="AT162" i="6"/>
  <c r="AS162" i="6"/>
  <c r="AR162" i="6"/>
  <c r="AQ162" i="6"/>
  <c r="AP162" i="6"/>
  <c r="AO162" i="6"/>
  <c r="AN162" i="6"/>
  <c r="AM162" i="6"/>
  <c r="AL162" i="6"/>
  <c r="AK162" i="6"/>
  <c r="AY121" i="6"/>
  <c r="AX121" i="6"/>
  <c r="AW121" i="6"/>
  <c r="AV121" i="6"/>
  <c r="AU121" i="6"/>
  <c r="AT121" i="6"/>
  <c r="AS121" i="6"/>
  <c r="AR121" i="6"/>
  <c r="AQ121" i="6"/>
  <c r="AP121" i="6"/>
  <c r="AO121" i="6"/>
  <c r="AN121" i="6"/>
  <c r="AM121" i="6"/>
  <c r="AL121" i="6"/>
  <c r="AK121" i="6"/>
  <c r="W121" i="6"/>
  <c r="X121" i="6"/>
  <c r="Y121" i="6"/>
  <c r="Z121" i="6"/>
  <c r="AA121" i="6"/>
  <c r="AB121" i="6"/>
  <c r="AC121" i="6"/>
  <c r="AD121" i="6"/>
  <c r="AE121" i="6"/>
  <c r="AF121" i="6"/>
  <c r="AG121" i="6"/>
  <c r="AH121" i="6"/>
  <c r="AI121" i="6"/>
  <c r="AJ121" i="6"/>
  <c r="W162" i="6"/>
  <c r="X162" i="6"/>
  <c r="Y162" i="6"/>
  <c r="Z162" i="6"/>
  <c r="AA162" i="6"/>
  <c r="AB162" i="6"/>
  <c r="AC162" i="6"/>
  <c r="AD162" i="6"/>
  <c r="AE162" i="6"/>
  <c r="AF162" i="6"/>
  <c r="AG162" i="6"/>
  <c r="AH162" i="6"/>
  <c r="AI162" i="6"/>
  <c r="AJ162" i="6"/>
  <c r="W182" i="6"/>
  <c r="X182" i="6"/>
  <c r="Y182" i="6"/>
  <c r="Z182" i="6"/>
  <c r="AA182" i="6"/>
  <c r="AB182" i="6"/>
  <c r="AC182" i="6"/>
  <c r="AD182" i="6"/>
  <c r="AE182" i="6"/>
  <c r="AF182" i="6"/>
  <c r="AG182" i="6"/>
  <c r="AH182" i="6"/>
  <c r="AI182" i="6"/>
  <c r="AJ182" i="6"/>
  <c r="K121" i="6"/>
  <c r="L121" i="6"/>
  <c r="M121" i="6"/>
  <c r="N121" i="6"/>
  <c r="O121" i="6"/>
  <c r="P121" i="6"/>
  <c r="Q121" i="6"/>
  <c r="R121" i="6"/>
  <c r="S121" i="6"/>
  <c r="T121" i="6"/>
  <c r="U121" i="6"/>
  <c r="V121" i="6"/>
  <c r="B153" i="6"/>
  <c r="A153" i="6"/>
  <c r="B5" i="6"/>
  <c r="E182" i="6"/>
  <c r="F182" i="6"/>
  <c r="G182" i="6"/>
  <c r="H182" i="6"/>
  <c r="I182" i="6"/>
  <c r="J182" i="6"/>
  <c r="K182" i="6"/>
  <c r="L182" i="6"/>
  <c r="M182" i="6"/>
  <c r="N182" i="6"/>
  <c r="O182" i="6"/>
  <c r="P182" i="6"/>
  <c r="Q182" i="6"/>
  <c r="R182" i="6"/>
  <c r="S182" i="6"/>
  <c r="T182" i="6"/>
  <c r="U182" i="6"/>
  <c r="V182" i="6"/>
  <c r="D162" i="6"/>
  <c r="E162" i="6"/>
  <c r="F162" i="6"/>
  <c r="G162" i="6"/>
  <c r="H162" i="6"/>
  <c r="I162" i="6"/>
  <c r="J162" i="6"/>
  <c r="K162" i="6"/>
  <c r="L162" i="6"/>
  <c r="M162" i="6"/>
  <c r="N162" i="6"/>
  <c r="O162" i="6"/>
  <c r="P162" i="6"/>
  <c r="Q162" i="6"/>
  <c r="R162" i="6"/>
  <c r="S162" i="6"/>
  <c r="T162" i="6"/>
  <c r="U162" i="6"/>
  <c r="V162" i="6"/>
  <c r="B87" i="6"/>
  <c r="A87" i="6"/>
  <c r="C106" i="6"/>
  <c r="C108" i="6"/>
  <c r="C105" i="6"/>
  <c r="H184" i="6"/>
  <c r="E184" i="6"/>
  <c r="F184" i="6"/>
  <c r="J184" i="6"/>
  <c r="G184" i="6"/>
  <c r="K184" i="6"/>
  <c r="I184" i="6"/>
  <c r="L184" i="6"/>
  <c r="M184" i="6"/>
  <c r="C162" i="6"/>
  <c r="B162" i="6"/>
  <c r="A162" i="6"/>
  <c r="C121" i="6"/>
  <c r="B121" i="6"/>
  <c r="A121" i="6"/>
  <c r="C84" i="6"/>
  <c r="B84" i="6"/>
  <c r="A84" i="6"/>
  <c r="N184" i="6"/>
  <c r="B143" i="6"/>
  <c r="A143" i="6"/>
  <c r="O184" i="6"/>
  <c r="P184" i="6"/>
  <c r="A186" i="6"/>
  <c r="A185" i="6"/>
  <c r="A184" i="6"/>
  <c r="A183" i="6"/>
  <c r="C182" i="6"/>
  <c r="B182" i="6"/>
  <c r="A182" i="6"/>
  <c r="B164" i="6"/>
  <c r="B165" i="6"/>
  <c r="B166" i="6"/>
  <c r="B167" i="6"/>
  <c r="A167" i="6"/>
  <c r="A166" i="6"/>
  <c r="A165" i="6"/>
  <c r="A164" i="6"/>
  <c r="E183" i="6"/>
  <c r="Q184" i="6"/>
  <c r="E185" i="6"/>
  <c r="F183" i="6"/>
  <c r="R184" i="6"/>
  <c r="D185" i="6"/>
  <c r="D84" i="6"/>
  <c r="D121" i="6"/>
  <c r="D182" i="6"/>
  <c r="F185" i="6"/>
  <c r="S184" i="6"/>
  <c r="G183" i="6"/>
  <c r="E84" i="6"/>
  <c r="E121" i="6"/>
  <c r="C109" i="6"/>
  <c r="H183" i="6"/>
  <c r="T184" i="6"/>
  <c r="F84" i="6"/>
  <c r="F121" i="6"/>
  <c r="G185" i="6"/>
  <c r="H185" i="6"/>
  <c r="I183" i="6"/>
  <c r="U184" i="6"/>
  <c r="G121" i="6"/>
  <c r="G84" i="6"/>
  <c r="I185" i="6"/>
  <c r="J183" i="6"/>
  <c r="V184" i="6"/>
  <c r="H84" i="6"/>
  <c r="H121" i="6"/>
  <c r="D183" i="6"/>
  <c r="D184" i="6"/>
  <c r="J185" i="6"/>
  <c r="K183" i="6"/>
  <c r="I84" i="6"/>
  <c r="I121" i="6"/>
  <c r="K185" i="6"/>
  <c r="W184" i="6"/>
  <c r="L183" i="6"/>
  <c r="J84" i="6"/>
  <c r="J121" i="6"/>
  <c r="L185" i="6"/>
  <c r="C87" i="6"/>
  <c r="X184" i="6"/>
  <c r="M183" i="6"/>
  <c r="M185" i="6"/>
  <c r="Y184" i="6"/>
  <c r="N183" i="6"/>
  <c r="N185" i="6"/>
  <c r="Z184" i="6"/>
  <c r="O183" i="6"/>
  <c r="O185" i="6"/>
  <c r="AA184" i="6"/>
  <c r="P183" i="6"/>
  <c r="P185" i="6"/>
  <c r="AB184" i="6"/>
  <c r="Q183" i="6"/>
  <c r="Q185" i="6"/>
  <c r="AC184" i="6"/>
  <c r="R183" i="6"/>
  <c r="E186" i="6"/>
  <c r="D186" i="6"/>
  <c r="R185" i="6"/>
  <c r="AD184" i="6"/>
  <c r="S183" i="6"/>
  <c r="F186" i="6"/>
  <c r="E187" i="6"/>
  <c r="E188" i="6"/>
  <c r="D188" i="6"/>
  <c r="D187" i="6"/>
  <c r="S185" i="6"/>
  <c r="W185" i="6"/>
  <c r="W183" i="6"/>
  <c r="AE184" i="6"/>
  <c r="E189" i="6"/>
  <c r="T183" i="6"/>
  <c r="F187" i="6"/>
  <c r="F188" i="6"/>
  <c r="G186" i="6"/>
  <c r="D189" i="6"/>
  <c r="T185" i="6"/>
  <c r="X185" i="6"/>
  <c r="X183" i="6"/>
  <c r="AF184" i="6"/>
  <c r="F189" i="6"/>
  <c r="U183" i="6"/>
  <c r="H186" i="6"/>
  <c r="G187" i="6"/>
  <c r="G188" i="6"/>
  <c r="U185" i="6"/>
  <c r="Y183" i="6"/>
  <c r="AG184" i="6"/>
  <c r="H188" i="6"/>
  <c r="H187" i="6"/>
  <c r="I186" i="6"/>
  <c r="G189" i="6"/>
  <c r="V183" i="6"/>
  <c r="Y185" i="6"/>
  <c r="Z185" i="6"/>
  <c r="AH184" i="6"/>
  <c r="Z183" i="6"/>
  <c r="J186" i="6"/>
  <c r="H189" i="6"/>
  <c r="I187" i="6"/>
  <c r="I188" i="6"/>
  <c r="V185" i="6"/>
  <c r="AI184" i="6"/>
  <c r="AA183" i="6"/>
  <c r="I189" i="6"/>
  <c r="J187" i="6"/>
  <c r="J188" i="6"/>
  <c r="K186" i="6"/>
  <c r="AA185" i="6"/>
  <c r="AB183" i="6"/>
  <c r="AJ184" i="6"/>
  <c r="J189" i="6"/>
  <c r="K187" i="6"/>
  <c r="K188" i="6"/>
  <c r="L186" i="6"/>
  <c r="AB185" i="6"/>
  <c r="AC185" i="6"/>
  <c r="AC183" i="6"/>
  <c r="AK184" i="6"/>
  <c r="K189" i="6"/>
  <c r="M186" i="6"/>
  <c r="L187" i="6"/>
  <c r="L188" i="6"/>
  <c r="AD183" i="6"/>
  <c r="AL184" i="6"/>
  <c r="M187" i="6"/>
  <c r="M188" i="6"/>
  <c r="N186" i="6"/>
  <c r="L189" i="6"/>
  <c r="AD185" i="6"/>
  <c r="AE183" i="6"/>
  <c r="AM184" i="6"/>
  <c r="M189" i="6"/>
  <c r="N187" i="6"/>
  <c r="N188" i="6"/>
  <c r="O186" i="6"/>
  <c r="AE185" i="6"/>
  <c r="AF183" i="6"/>
  <c r="AN184" i="6"/>
  <c r="N189" i="6"/>
  <c r="O187" i="6"/>
  <c r="O188" i="6"/>
  <c r="P186" i="6"/>
  <c r="AF185" i="6"/>
  <c r="AG185" i="6"/>
  <c r="AO184" i="6"/>
  <c r="AG183" i="6"/>
  <c r="O189" i="6"/>
  <c r="P187" i="6"/>
  <c r="P188" i="6"/>
  <c r="Q186" i="6"/>
  <c r="AH183" i="6"/>
  <c r="AP184" i="6"/>
  <c r="P189" i="6"/>
  <c r="Q187" i="6"/>
  <c r="Q188" i="6"/>
  <c r="R186" i="6"/>
  <c r="AH185" i="6"/>
  <c r="AQ184" i="6"/>
  <c r="AI183" i="6"/>
  <c r="Q189" i="6"/>
  <c r="R187" i="6"/>
  <c r="R188" i="6"/>
  <c r="S186" i="6"/>
  <c r="AJ183" i="6"/>
  <c r="AR184" i="6"/>
  <c r="R189" i="6"/>
  <c r="T186" i="6"/>
  <c r="S187" i="6"/>
  <c r="S188" i="6"/>
  <c r="AI185" i="6"/>
  <c r="AK185" i="6"/>
  <c r="AK183" i="6"/>
  <c r="AS184" i="6"/>
  <c r="S189" i="6"/>
  <c r="T187" i="6"/>
  <c r="T188" i="6"/>
  <c r="U186" i="6"/>
  <c r="AL185" i="6"/>
  <c r="AJ185" i="6"/>
  <c r="AT184" i="6"/>
  <c r="AL183" i="6"/>
  <c r="W186" i="6"/>
  <c r="T189" i="6"/>
  <c r="U187" i="6"/>
  <c r="U188" i="6"/>
  <c r="V186" i="6"/>
  <c r="AU184" i="6"/>
  <c r="AM183" i="6"/>
  <c r="W187" i="6"/>
  <c r="W188" i="6"/>
  <c r="X186" i="6"/>
  <c r="U189" i="6"/>
  <c r="V187" i="6"/>
  <c r="V188" i="6"/>
  <c r="AM185" i="6"/>
  <c r="AV184" i="6"/>
  <c r="AN183" i="6"/>
  <c r="Y186" i="6"/>
  <c r="W189" i="6"/>
  <c r="X187" i="6"/>
  <c r="X188" i="6"/>
  <c r="V189" i="6"/>
  <c r="AO185" i="6"/>
  <c r="AN185" i="6"/>
  <c r="AO183" i="6"/>
  <c r="AW184" i="6"/>
  <c r="Z186" i="6"/>
  <c r="X189" i="6"/>
  <c r="Y188" i="6"/>
  <c r="Y187" i="6"/>
  <c r="AA186" i="6"/>
  <c r="AP183" i="6"/>
  <c r="AX184" i="6"/>
  <c r="Y189" i="6"/>
  <c r="Z188" i="6"/>
  <c r="Z187" i="6"/>
  <c r="AP185" i="6"/>
  <c r="E169" i="6"/>
  <c r="F169" i="6"/>
  <c r="G169" i="6"/>
  <c r="H169" i="6"/>
  <c r="I169" i="6"/>
  <c r="J169" i="6"/>
  <c r="K169" i="6"/>
  <c r="L169" i="6"/>
  <c r="M169" i="6"/>
  <c r="N169" i="6"/>
  <c r="O169" i="6"/>
  <c r="P169" i="6"/>
  <c r="Q169" i="6"/>
  <c r="R169" i="6"/>
  <c r="S169" i="6"/>
  <c r="T169" i="6"/>
  <c r="U169" i="6"/>
  <c r="V169" i="6"/>
  <c r="W169" i="6"/>
  <c r="X169" i="6"/>
  <c r="Y169" i="6"/>
  <c r="Z169" i="6"/>
  <c r="AB186" i="6"/>
  <c r="AY184" i="6"/>
  <c r="AQ183" i="6"/>
  <c r="Z189" i="6"/>
  <c r="AA188" i="6"/>
  <c r="AA187" i="6"/>
  <c r="E177" i="6"/>
  <c r="F177" i="6"/>
  <c r="G177" i="6"/>
  <c r="H177" i="6"/>
  <c r="I177" i="6"/>
  <c r="J177" i="6"/>
  <c r="K177" i="6"/>
  <c r="L177" i="6"/>
  <c r="M177" i="6"/>
  <c r="N177" i="6"/>
  <c r="O177" i="6"/>
  <c r="P177" i="6"/>
  <c r="Q177" i="6"/>
  <c r="R177" i="6"/>
  <c r="S177" i="6"/>
  <c r="T177" i="6"/>
  <c r="U177" i="6"/>
  <c r="V177" i="6"/>
  <c r="W177" i="6"/>
  <c r="X177" i="6"/>
  <c r="Y177" i="6"/>
  <c r="Z177" i="6"/>
  <c r="AA169" i="6"/>
  <c r="AA177" i="6"/>
  <c r="AQ185" i="6"/>
  <c r="AB177" i="6"/>
  <c r="AR185" i="6"/>
  <c r="AR183" i="6"/>
  <c r="AA189" i="6"/>
  <c r="AB188" i="6"/>
  <c r="AB187" i="6"/>
  <c r="AB169" i="6"/>
  <c r="AS185" i="6"/>
  <c r="AC177" i="6"/>
  <c r="AC186" i="6"/>
  <c r="AC187" i="6"/>
  <c r="C107" i="6"/>
  <c r="AS183" i="6"/>
  <c r="AB189" i="6"/>
  <c r="AC188" i="6"/>
  <c r="AC189" i="6"/>
  <c r="AC169" i="6"/>
  <c r="C165" i="6"/>
  <c r="AT183" i="6"/>
  <c r="C110" i="6"/>
  <c r="AT185" i="6"/>
  <c r="AU185" i="6"/>
  <c r="AD186" i="6"/>
  <c r="AU183" i="6"/>
  <c r="AD188" i="6"/>
  <c r="AD187" i="6"/>
  <c r="AD177" i="6"/>
  <c r="AD169" i="6"/>
  <c r="AE186" i="6"/>
  <c r="AV183" i="6"/>
  <c r="AV185" i="6"/>
  <c r="AW185" i="6"/>
  <c r="AD189" i="6"/>
  <c r="AE188" i="6"/>
  <c r="AE187" i="6"/>
  <c r="AE177" i="6"/>
  <c r="AE169" i="6"/>
  <c r="AW183" i="6"/>
  <c r="AE189" i="6"/>
  <c r="AX183" i="6"/>
  <c r="AF177" i="6"/>
  <c r="AF186" i="6"/>
  <c r="AX185" i="6"/>
  <c r="AY185" i="6"/>
  <c r="AF169" i="6"/>
  <c r="AF188" i="6"/>
  <c r="AF187" i="6"/>
  <c r="AY183" i="6"/>
  <c r="AF189" i="6"/>
  <c r="AG186" i="6"/>
  <c r="C100" i="6"/>
  <c r="AG187" i="6"/>
  <c r="AG188" i="6"/>
  <c r="AG177" i="6"/>
  <c r="AG169" i="6"/>
  <c r="C143" i="6"/>
  <c r="C164" i="6"/>
  <c r="AG189" i="6"/>
  <c r="AH186" i="6"/>
  <c r="AH177" i="6"/>
  <c r="C166" i="6"/>
  <c r="C146" i="6"/>
  <c r="C185" i="6"/>
  <c r="AH188" i="6"/>
  <c r="AH187" i="6"/>
  <c r="AI177" i="6"/>
  <c r="AI186" i="6"/>
  <c r="AH169" i="6"/>
  <c r="AH189" i="6"/>
  <c r="AI187" i="6"/>
  <c r="AI188" i="6"/>
  <c r="AI169" i="6"/>
  <c r="AJ186" i="6"/>
  <c r="AI189" i="6"/>
  <c r="AJ177" i="6"/>
  <c r="AJ187" i="6"/>
  <c r="AJ188" i="6"/>
  <c r="AJ169" i="6"/>
  <c r="AJ189" i="6"/>
  <c r="AK186" i="6"/>
  <c r="AK177" i="6"/>
  <c r="AK188" i="6"/>
  <c r="AK187" i="6"/>
  <c r="AK169" i="6"/>
  <c r="AK189" i="6"/>
  <c r="AL177" i="6"/>
  <c r="AL186" i="6"/>
  <c r="AL187" i="6"/>
  <c r="AL188" i="6"/>
  <c r="AL169" i="6"/>
  <c r="AL189" i="6"/>
  <c r="AM186" i="6"/>
  <c r="C140" i="6"/>
  <c r="AM188" i="6"/>
  <c r="AM187" i="6"/>
  <c r="AM177" i="6"/>
  <c r="AM169" i="6"/>
  <c r="AM189" i="6"/>
  <c r="AN177" i="6"/>
  <c r="AN186" i="6"/>
  <c r="AN188" i="6"/>
  <c r="AN187" i="6"/>
  <c r="AN169" i="6"/>
  <c r="AN189" i="6"/>
  <c r="AO186" i="6"/>
  <c r="AO177" i="6"/>
  <c r="AO187" i="6"/>
  <c r="AO188" i="6"/>
  <c r="AO169" i="6"/>
  <c r="AO189" i="6"/>
  <c r="AP186" i="6"/>
  <c r="AP188" i="6"/>
  <c r="AP187" i="6"/>
  <c r="AP177" i="6"/>
  <c r="AP169" i="6"/>
  <c r="AQ186" i="6"/>
  <c r="AP189" i="6"/>
  <c r="AQ177" i="6"/>
  <c r="AQ188" i="6"/>
  <c r="AQ187" i="6"/>
  <c r="AQ169" i="6"/>
  <c r="AQ189" i="6"/>
  <c r="AR186" i="6"/>
  <c r="AR169" i="6"/>
  <c r="AR187" i="6"/>
  <c r="AR188" i="6"/>
  <c r="AR189" i="6"/>
  <c r="AS186" i="6"/>
  <c r="AR177" i="6"/>
  <c r="AS188" i="6"/>
  <c r="AS187" i="6"/>
  <c r="AT186" i="6"/>
  <c r="AS169" i="6"/>
  <c r="AT169" i="6"/>
  <c r="AT187" i="6"/>
  <c r="AT188" i="6"/>
  <c r="AS189" i="6"/>
  <c r="AU186" i="6"/>
  <c r="AT189" i="6"/>
  <c r="AS177" i="6"/>
  <c r="AT177" i="6"/>
  <c r="AU169" i="6"/>
  <c r="AU188" i="6"/>
  <c r="AU187" i="6"/>
  <c r="AU189" i="6"/>
  <c r="AV186" i="6"/>
  <c r="AV187" i="6"/>
  <c r="AV169" i="6"/>
  <c r="AU177" i="6"/>
  <c r="AV188" i="6"/>
  <c r="AV189" i="6"/>
  <c r="AW186" i="6"/>
  <c r="AW188" i="6"/>
  <c r="AW187" i="6"/>
  <c r="AV177" i="6"/>
  <c r="AW177" i="6"/>
  <c r="AW169" i="6"/>
  <c r="AW189" i="6"/>
  <c r="AX186" i="6"/>
  <c r="AX187" i="6"/>
  <c r="AX188" i="6"/>
  <c r="AX177" i="6"/>
  <c r="AX169" i="6"/>
  <c r="AX189" i="6"/>
  <c r="AY177" i="6"/>
  <c r="AY186" i="6"/>
  <c r="AY187" i="6"/>
  <c r="AY188" i="6"/>
  <c r="AY169" i="6"/>
  <c r="AY189" i="6"/>
  <c r="C147" i="6"/>
  <c r="C167" i="6"/>
  <c r="C168" i="6"/>
  <c r="C5" i="6"/>
  <c r="C176" i="6"/>
</calcChain>
</file>

<file path=xl/sharedStrings.xml><?xml version="1.0" encoding="utf-8"?>
<sst xmlns="http://schemas.openxmlformats.org/spreadsheetml/2006/main" count="322" uniqueCount="218">
  <si>
    <t>Contact</t>
  </si>
  <si>
    <t>Purpose</t>
  </si>
  <si>
    <t>Discount Rate</t>
  </si>
  <si>
    <t>recovery</t>
  </si>
  <si>
    <t>units</t>
  </si>
  <si>
    <t>Total</t>
  </si>
  <si>
    <t>Explaining the Protocols - Ignore this</t>
  </si>
  <si>
    <t>This section is used to explain the spreadsheet formatting on the Introduction worksheet.</t>
  </si>
  <si>
    <t>Cashstream 2: Capital Costs</t>
  </si>
  <si>
    <t>Cashstream 3: Operating Costs</t>
  </si>
  <si>
    <t>Cashstream 4: Taxes</t>
  </si>
  <si>
    <t>less</t>
  </si>
  <si>
    <t>Discount Factor</t>
  </si>
  <si>
    <t>Company Income Tax  Rate</t>
  </si>
  <si>
    <t>% of assessable income</t>
  </si>
  <si>
    <t>Data for Graphs</t>
  </si>
  <si>
    <t>Cashflow if positive</t>
  </si>
  <si>
    <t>Cashflow Deficit</t>
  </si>
  <si>
    <t>Cash Flow</t>
  </si>
  <si>
    <t>% silver</t>
  </si>
  <si>
    <t>This worked example is an illustration. Assume it has not been properly audited and should be checked before being used.</t>
  </si>
  <si>
    <t>Understanding the colour coding is easy!</t>
  </si>
  <si>
    <t>Cashstream 1: Revenue</t>
  </si>
  <si>
    <t>Assessable Income</t>
  </si>
  <si>
    <t>other</t>
  </si>
  <si>
    <t>Months --&gt;</t>
  </si>
  <si>
    <t>insurance</t>
  </si>
  <si>
    <t>Losses carried forward - opening balance</t>
  </si>
  <si>
    <t>Income Tax - paid</t>
  </si>
  <si>
    <t>Losses carried forward - closing balance</t>
  </si>
  <si>
    <t>% per month</t>
  </si>
  <si>
    <t>Payback - cash</t>
  </si>
  <si>
    <t xml:space="preserve">Tax deduction rate for "small business" </t>
  </si>
  <si>
    <t>pool of undeducted "Simpler Depreciation for Small Business"</t>
  </si>
  <si>
    <t xml:space="preserve"> Income Tax</t>
  </si>
  <si>
    <t>Assessable income after losses carried forward</t>
  </si>
  <si>
    <t>Cashstream 1: Sales &amp; Revenue</t>
  </si>
  <si>
    <t>days</t>
  </si>
  <si>
    <t>employees</t>
  </si>
  <si>
    <t>telephones &amp; computers</t>
  </si>
  <si>
    <t>working stocks of processer uniits</t>
  </si>
  <si>
    <t>First compute: Tax Deductions for Capital Expenditure  (Approximate)</t>
  </si>
  <si>
    <t>sales of organic fertiliser</t>
  </si>
  <si>
    <t>kilograms</t>
  </si>
  <si>
    <t>$ Real</t>
  </si>
  <si>
    <t>$/kg Real</t>
  </si>
  <si>
    <t>Revenue - organic fertilisers</t>
  </si>
  <si>
    <t xml:space="preserve">$ </t>
  </si>
  <si>
    <t>Green waste receival</t>
  </si>
  <si>
    <t>Mulching and mixing plant</t>
  </si>
  <si>
    <t>Processing plant</t>
  </si>
  <si>
    <t>workshop and office</t>
  </si>
  <si>
    <t>Despatch facilities</t>
  </si>
  <si>
    <t>fertiliser - increase/(decrease) in working stocks</t>
  </si>
  <si>
    <t>fertiliser - working stocks closing</t>
  </si>
  <si>
    <t xml:space="preserve">collection </t>
  </si>
  <si>
    <t>mulching, mixing, processing</t>
  </si>
  <si>
    <t>logistics</t>
  </si>
  <si>
    <t>$/ kg Real</t>
  </si>
  <si>
    <t>$/t Real</t>
  </si>
  <si>
    <t>production of fertiliser</t>
  </si>
  <si>
    <t>variable cost of production</t>
  </si>
  <si>
    <t>fixed costs</t>
  </si>
  <si>
    <t>bookkeeping, accounting, legal, insurance</t>
  </si>
  <si>
    <t>local community</t>
  </si>
  <si>
    <t>undeducted capital expenditure - opening balance</t>
  </si>
  <si>
    <t>undeducted capital expenditure - closing balance</t>
  </si>
  <si>
    <t>2019 08 22 P Carr: This simple business model does not incorporate the erosion of tax deductions by inflation.  It computes in Real terms.  (It does not convert capital expenditure to Nominal terms, compute the tax deductions and then convert them back to Real terms - as may be done in more detailed evaluations.)</t>
  </si>
  <si>
    <t>Tax deductions for capital expenditure</t>
  </si>
  <si>
    <t>Important!!!</t>
  </si>
  <si>
    <t>This worked example may contain errors so it is essential to have a competent person audit your business case before making any decisions!!!</t>
  </si>
  <si>
    <t>Audits of this business model</t>
  </si>
  <si>
    <t xml:space="preserve">Self audit </t>
  </si>
  <si>
    <t>external competent person</t>
  </si>
  <si>
    <t>Decrease in income tax from project funding</t>
  </si>
  <si>
    <t>Change in income tax/minimum tax from project funding</t>
  </si>
  <si>
    <t>Income tax after project funding - Nominal</t>
  </si>
  <si>
    <t>Closing balance - assessable income losses to be carried forward</t>
  </si>
  <si>
    <t>Assessable income (if positive)</t>
  </si>
  <si>
    <t>Assessable income after any carried losses</t>
  </si>
  <si>
    <t>Opening balance - assessable income losses</t>
  </si>
  <si>
    <t>Assessable income - after interest</t>
  </si>
  <si>
    <t>deduct: -</t>
  </si>
  <si>
    <t>Assessable income - before interest</t>
  </si>
  <si>
    <t>Referenced from the "Taxes" worksheet: -</t>
  </si>
  <si>
    <t>closing balance of equity funds invested</t>
  </si>
  <si>
    <t>equity funds - new investment</t>
  </si>
  <si>
    <t>opening balance of equity funds invested</t>
  </si>
  <si>
    <t xml:space="preserve">Interest - paid </t>
  </si>
  <si>
    <t>Interest rate on loans</t>
  </si>
  <si>
    <t>project loan - closing balance</t>
  </si>
  <si>
    <t>loan - drawdowns</t>
  </si>
  <si>
    <t>max amount of funding deficit that can be debt funded</t>
  </si>
  <si>
    <t>funds available for drawdown</t>
  </si>
  <si>
    <t>project loan - opening balance</t>
  </si>
  <si>
    <t>max proportion of cash deficit that can be debt funded</t>
  </si>
  <si>
    <t>Loan funds available for drawdown - maximum</t>
  </si>
  <si>
    <t>4a. Net Cash Flow after donations</t>
  </si>
  <si>
    <t>Donation possible</t>
  </si>
  <si>
    <t xml:space="preserve">Cash injections needed </t>
  </si>
  <si>
    <t>Net Cash Flow before project funding - Nominal</t>
  </si>
  <si>
    <t>Start construction of workshops</t>
  </si>
  <si>
    <t>Activity --&gt;</t>
  </si>
  <si>
    <t>Construct waste receival</t>
  </si>
  <si>
    <t>Start constructing processing plant</t>
  </si>
  <si>
    <t>First sales</t>
  </si>
  <si>
    <t>Ramp-up sales</t>
  </si>
  <si>
    <t>$  Nominal</t>
  </si>
  <si>
    <t>$ Nominal</t>
  </si>
  <si>
    <t xml:space="preserve">Inflation - $ </t>
  </si>
  <si>
    <t>Inflator - $</t>
  </si>
  <si>
    <t>working capital needed</t>
  </si>
  <si>
    <t>working capital - increase/(decrease)</t>
  </si>
  <si>
    <t>Project funding is in NOMINAL terms.  This does not feed back to the worksheets computing Taxes and Net Cashflow.  Trying to enhance the business case, NPV and IRR by incorporating tax benefits from project funding can be self-deception.</t>
  </si>
  <si>
    <r>
      <rPr>
        <i/>
        <sz val="18"/>
        <color rgb="FFFF0000"/>
        <rFont val="Calibri"/>
        <family val="2"/>
        <scheme val="minor"/>
      </rPr>
      <t>Illustrative</t>
    </r>
    <r>
      <rPr>
        <b/>
        <i/>
        <sz val="18"/>
        <color rgb="FFFF0000"/>
        <rFont val="Calibri"/>
        <family val="2"/>
        <scheme val="minor"/>
      </rPr>
      <t xml:space="preserve"> Project Funding </t>
    </r>
    <r>
      <rPr>
        <i/>
        <sz val="18"/>
        <color rgb="FFFF0000"/>
        <rFont val="Calibri"/>
        <family val="2"/>
        <scheme val="minor"/>
      </rPr>
      <t>(Financing)</t>
    </r>
  </si>
  <si>
    <t>Receive approvals and funding</t>
  </si>
  <si>
    <r>
      <t xml:space="preserve">Complete construction </t>
    </r>
    <r>
      <rPr>
        <sz val="10"/>
        <color rgb="FFFF0000"/>
        <rFont val="Calibri"/>
        <family val="2"/>
        <scheme val="minor"/>
      </rPr>
      <t>&amp; raise working capital</t>
    </r>
  </si>
  <si>
    <t>price of organic fertiliser - including 10% VAT</t>
  </si>
  <si>
    <t>% added</t>
  </si>
  <si>
    <t>VAT as a percentage of final price</t>
  </si>
  <si>
    <t>%</t>
  </si>
  <si>
    <t>VAT credits received on inputs</t>
  </si>
  <si>
    <t>VAT</t>
  </si>
  <si>
    <t>VAT paid on sales</t>
  </si>
  <si>
    <t>3a.  production of fertiliser</t>
  </si>
  <si>
    <t>3b.  variable cost of production</t>
  </si>
  <si>
    <t>3c.  fixed costs</t>
  </si>
  <si>
    <t>3d.  working capital needed</t>
  </si>
  <si>
    <t>Capex - Start up and sustaining</t>
  </si>
  <si>
    <t>1a . Sales</t>
  </si>
  <si>
    <t>1b.  Debtors</t>
  </si>
  <si>
    <t>sustaining - replacement of whole units of equipment</t>
  </si>
  <si>
    <t>repairs &amp; maintenance</t>
  </si>
  <si>
    <t>4a.  VAT  "Value Added Tax"</t>
  </si>
  <si>
    <t>4b.  Income Tax</t>
  </si>
  <si>
    <t xml:space="preserve">The business model is in REAL terms (excluding inflation) through to net cashflow, IRR and NPV.  </t>
  </si>
  <si>
    <t>Yet to be completed - please arrange your own!</t>
  </si>
  <si>
    <r>
      <rPr>
        <b/>
        <sz val="11"/>
        <color theme="1"/>
        <rFont val="Calibri"/>
        <family val="2"/>
        <scheme val="minor"/>
      </rPr>
      <t xml:space="preserve">Links </t>
    </r>
    <r>
      <rPr>
        <sz val="11"/>
        <color theme="1"/>
        <rFont val="Calibri"/>
        <family val="2"/>
        <scheme val="minor"/>
      </rPr>
      <t>to other workbooks is forbidden.  (Too many disasters in the past.)</t>
    </r>
  </si>
  <si>
    <t xml:space="preserve">One-page Business Model </t>
  </si>
  <si>
    <r>
      <t xml:space="preserve">NPV after 48 months </t>
    </r>
    <r>
      <rPr>
        <sz val="12"/>
        <color theme="1"/>
        <rFont val="Calibri"/>
        <family val="2"/>
        <scheme val="minor"/>
      </rPr>
      <t xml:space="preserve"> (before funding)</t>
    </r>
  </si>
  <si>
    <t>read from graph of net cashflow</t>
  </si>
  <si>
    <t>Model creator: Peter Card in Melbourne, at peterbowdencard12@gmail.com</t>
  </si>
  <si>
    <r>
      <t xml:space="preserve">It has the business case in </t>
    </r>
    <r>
      <rPr>
        <u/>
        <sz val="10"/>
        <rFont val="Calibri"/>
        <family val="2"/>
      </rPr>
      <t>one page</t>
    </r>
    <r>
      <rPr>
        <sz val="10"/>
        <rFont val="Calibri"/>
        <family val="2"/>
      </rPr>
      <t xml:space="preserve"> and the project funding in </t>
    </r>
    <r>
      <rPr>
        <u/>
        <sz val="10"/>
        <rFont val="Calibri"/>
        <family val="2"/>
      </rPr>
      <t>another page</t>
    </r>
    <r>
      <rPr>
        <sz val="10"/>
        <rFont val="Calibri"/>
        <family val="2"/>
      </rPr>
      <t>.  As a project evolves this business model can be expanded to incorporate a lot more detail and complexity.</t>
    </r>
  </si>
  <si>
    <t xml:space="preserve">The computations and graphs show the quality of the underlying business and if the enterprise can be self-supporting within 48 months.  </t>
  </si>
  <si>
    <t>Cash generation/deficit is more important as the project ramps-up.  (The IRR and NPV should improve after that, as the project matures)</t>
  </si>
  <si>
    <r>
      <t xml:space="preserve">Every business model must be kept easy for </t>
    </r>
    <r>
      <rPr>
        <b/>
        <u/>
        <sz val="10"/>
        <rFont val="Calibri"/>
        <family val="2"/>
      </rPr>
      <t>others</t>
    </r>
    <r>
      <rPr>
        <b/>
        <sz val="10"/>
        <rFont val="Calibri"/>
        <family val="2"/>
      </rPr>
      <t xml:space="preserve"> </t>
    </r>
    <r>
      <rPr>
        <sz val="10"/>
        <rFont val="Calibri"/>
        <family val="2"/>
      </rPr>
      <t xml:space="preserve">to immediately understand: it must be in small steps in an obvious layout with lots of bold headings and the source of every data input must be </t>
    </r>
    <r>
      <rPr>
        <u/>
        <sz val="10"/>
        <rFont val="Calibri"/>
        <family val="2"/>
      </rPr>
      <t>visible (not in cell notes).</t>
    </r>
  </si>
  <si>
    <t>Peter Card on 22 Aug 2023</t>
  </si>
  <si>
    <t>1. Blue = Data Inputs: -</t>
  </si>
  <si>
    <t>Blue font means this is new input data.   (Every item of fresh input data is visually and obviously exposed in a cell.  Input data is never covertly entered into an algorithm.)</t>
  </si>
  <si>
    <t>13 Aug 2025  S White,  "Sales Plan  for Copper Operations to 2035"</t>
  </si>
  <si>
    <t>The source of this data - date, person and document - is clearly visible in the row immediately above. Not as a hidden cell note.</t>
  </si>
  <si>
    <t>Pink font means that this input needs checking</t>
  </si>
  <si>
    <t>2. Green = Data from other worksheets</t>
  </si>
  <si>
    <t>Green font means this row of items is referenced across from another Worksheet in this Workbook</t>
  </si>
  <si>
    <t>To reduce errors and to speed up worksheet construction, the entire Row is referenced across.  Not just the one cell needed.</t>
  </si>
  <si>
    <t>This will ensure that if a referenced cell is in Column F in the source Worksheet then it appears in the same Column (F) in this Worksheet.  (Important discipline for checking/auditing)</t>
  </si>
  <si>
    <t>Importantly, it means that if 2028 is in column F in one worksheet then it is in column F in every other worksheet  (Reduces errors)</t>
  </si>
  <si>
    <t>3. Black = Algorithms</t>
  </si>
  <si>
    <t xml:space="preserve">&lt;-- Black font means this is an algorithm.  </t>
  </si>
  <si>
    <t>4. Italics = nominal dollars</t>
  </si>
  <si>
    <t>This website uses italics for nominal terms data and vertical font for real terms data</t>
  </si>
  <si>
    <t>Worksheet Architecture</t>
  </si>
  <si>
    <r>
      <rPr>
        <b/>
        <sz val="10"/>
        <color theme="1"/>
        <rFont val="Calibri"/>
        <family val="2"/>
        <scheme val="minor"/>
      </rPr>
      <t>Cloumn A</t>
    </r>
    <r>
      <rPr>
        <sz val="10"/>
        <color theme="1"/>
        <rFont val="Calibri"/>
        <family val="2"/>
        <scheme val="minor"/>
      </rPr>
      <t xml:space="preserve"> is used for descriptors.  It is not left blank as an indent</t>
    </r>
  </si>
  <si>
    <r>
      <rPr>
        <b/>
        <sz val="10"/>
        <color theme="1"/>
        <rFont val="Calibri"/>
        <family val="2"/>
        <scheme val="minor"/>
      </rPr>
      <t>Column B</t>
    </r>
    <r>
      <rPr>
        <sz val="10"/>
        <color theme="1"/>
        <rFont val="Calibri"/>
        <family val="2"/>
        <scheme val="minor"/>
      </rPr>
      <t xml:space="preserve"> is used for units - which are in full words and not abbreviations "millions dry tonnes" not "Mdt"</t>
    </r>
  </si>
  <si>
    <r>
      <rPr>
        <b/>
        <sz val="10"/>
        <color theme="1"/>
        <rFont val="Calibri"/>
        <family val="2"/>
        <scheme val="minor"/>
      </rPr>
      <t>Column C</t>
    </r>
    <r>
      <rPr>
        <sz val="10"/>
        <color theme="1"/>
        <rFont val="Calibri"/>
        <family val="2"/>
        <scheme val="minor"/>
      </rPr>
      <t xml:space="preserve"> is for totals (and averages).  These must be completed as checks on input data and results</t>
    </r>
  </si>
  <si>
    <r>
      <rPr>
        <b/>
        <sz val="10"/>
        <color theme="1"/>
        <rFont val="Calibri"/>
        <family val="2"/>
        <scheme val="minor"/>
      </rPr>
      <t>Column D</t>
    </r>
    <r>
      <rPr>
        <sz val="10"/>
        <color theme="1"/>
        <rFont val="Calibri"/>
        <family val="2"/>
        <scheme val="minor"/>
      </rPr>
      <t xml:space="preserve"> is where the years, quarters, months begin --------&gt;</t>
    </r>
  </si>
  <si>
    <t>Results</t>
  </si>
  <si>
    <t>Cash Generation</t>
  </si>
  <si>
    <t>% Real</t>
  </si>
  <si>
    <t>Internal Rate of Return  "IRR"</t>
  </si>
  <si>
    <t>Discounted Cash flow</t>
  </si>
  <si>
    <t>Results in Graphic Form</t>
  </si>
  <si>
    <t>Cumulative NPV over 48 months</t>
  </si>
  <si>
    <t>Discounted Cash Generated each month</t>
  </si>
  <si>
    <t>2025 08 22 P Carr:  Income tax is computed here on a monthly basis, and paid progressively according to legislation.  Income losses are carried forward</t>
  </si>
  <si>
    <t>2025 08 22 P Carr:  There may be a delay on receiving VAT refunds but because they will be relatively minor, assume they are prompt.</t>
  </si>
  <si>
    <t>2025 09 05 Y Khani: "Business Plan for Organic Fertiliser Business in Villages" page 3</t>
  </si>
  <si>
    <t>2025 09 05 J Hui: "Marketing report on the Sales of Organic Fertilisers in Villages" page 6</t>
  </si>
  <si>
    <t>2025 09 05  P Carr email: Farmwers will be required to pay cash on purchase so there will not be debtors</t>
  </si>
  <si>
    <t>2025 09 05 J Lee: "Construction of Organic Fertiliser Plant" page 3</t>
  </si>
  <si>
    <t>2025 09 05 T Chan: "Operation of the Organic Fertiliser Plant"  pages 4 to 8</t>
  </si>
  <si>
    <t>2025 09 05 T Chan: "Operation of the Organic Fertiliser Plant"  pages 4 to 8.  Fixed costs will start immediately to support construction and prepare for operations and sales.</t>
  </si>
  <si>
    <t>2025 08 22 National Tax Office Website:  VAT or GST is charged at the rate of 10% on the selling price of goods and services.  The VAT paid on inputs credited against VAT to be paid on sales.  Exports are zero rated, which means that VAT is not charged on sales but that VAT on the inputs is refunded.</t>
  </si>
  <si>
    <t>2025 08 13 Khan Accounting telecon: To avoid unwarranted rows of very detailed computations that have a minimal impact on results, assume that all inputs are subject to VAT - although some charges may not.</t>
  </si>
  <si>
    <t>2025 08 22 National Tax Office website: "... pool most other depreciating assets that cost $20,000 or more in a small business asset pool and claim a 15% deduction in the first year (regardless of when you purchased or acquired them during the year)  AND  a 30% deduction each year after the first year"</t>
  </si>
  <si>
    <t xml:space="preserve">2025 08 22 P Carr: Rather than deducting 15% in first year and 30% subsequently, this evaluation has adopted a simplified method of 25% diminishing every year.  = 2.1% per month.  </t>
  </si>
  <si>
    <t>Cash Generated - Cumulative over 48 months</t>
  </si>
  <si>
    <t>2025 09 05 T Chan: "Operation of the Organic Fertiliser Plant"  Approx 1 month of operating costs will be needed at the start of sales as a reserve against problems including slow sales</t>
  </si>
  <si>
    <t>2025 09 05 J Lemon telecon: Assume there will be 10 days of organic fertiliser in working stocks in the plant and in villages</t>
  </si>
  <si>
    <t>Construction</t>
  </si>
  <si>
    <r>
      <t xml:space="preserve">VAT </t>
    </r>
    <r>
      <rPr>
        <sz val="10"/>
        <color theme="1"/>
        <rFont val="Calibri"/>
        <family val="2"/>
        <scheme val="minor"/>
      </rPr>
      <t>- net paid/(net refunded)</t>
    </r>
  </si>
  <si>
    <r>
      <t xml:space="preserve">Cash Generation over 48 months </t>
    </r>
    <r>
      <rPr>
        <sz val="10"/>
        <color theme="1"/>
        <rFont val="Calibri"/>
        <family val="2"/>
        <scheme val="minor"/>
      </rPr>
      <t>(before funding)</t>
    </r>
  </si>
  <si>
    <t>Business - Activity</t>
  </si>
  <si>
    <r>
      <t xml:space="preserve">This worked example of a business case is available free.  (It is available to download from Peter's free website </t>
    </r>
    <r>
      <rPr>
        <u/>
        <sz val="10"/>
        <color rgb="FF0070C0"/>
        <rFont val="Calibri"/>
        <family val="2"/>
      </rPr>
      <t>www.economicevaluation.com.au</t>
    </r>
    <r>
      <rPr>
        <sz val="10"/>
        <rFont val="Calibri"/>
        <family val="2"/>
      </rPr>
      <t xml:space="preserve"> )</t>
    </r>
  </si>
  <si>
    <t>It assesses the production and sale of organic fertilisers</t>
  </si>
  <si>
    <r>
      <t xml:space="preserve">One-page business model and one-page project funding of a small scale organic fertiliser plant </t>
    </r>
    <r>
      <rPr>
        <sz val="14"/>
        <color rgb="FF0033CC"/>
        <rFont val="Arial"/>
        <family val="2"/>
      </rPr>
      <t>(first 48 months)</t>
    </r>
  </si>
  <si>
    <t>2025 08 01 P Carr: Adopt 7% Real as the basic discount rate for this type of business.  Some investors prefer a premium added to the discount rate that represents the risk of investing in that country.  So here adopt 7% + 3% = 10% Real  --&gt; 0.83% per month</t>
  </si>
  <si>
    <t>2025 08 24 P Card: The preceding business model is in Real terms.  The project funding below is in nominal terms - including inflation (Hence in Italics)</t>
  </si>
  <si>
    <t>2025 08 02 Global Friendship offers a donation of $15 000 when the annual project net cashflow-after-tax becomes cash positive.</t>
  </si>
  <si>
    <t>2025 08 02 Ben James email with attachments: Offers a loan of up to $30 000 during first 12 months. It can be a maximum of 50% of the cash deficit from operations after tax.  Repayments take priority when the project has excess cash generated.</t>
  </si>
  <si>
    <t>2025 08 02 Ben James email:  loan for $20 000 at 8% interest = 0.67% per month.  The interest computed below is approximate.</t>
  </si>
  <si>
    <t>2025 08 06 P Carter: Assume that equity injections will have to make up any shortfall in funding when the project cashflow is negative and so cover any interest payments</t>
  </si>
  <si>
    <t>A.  From the 'business model'</t>
  </si>
  <si>
    <t>B.  Converting Net Cash Flow before project funding into Nominal</t>
  </si>
  <si>
    <t>2025 08 09 P Carrier: @2% annual inflation is 0.17% per month</t>
  </si>
  <si>
    <t>C. Cash Injections Needed</t>
  </si>
  <si>
    <t>a. Donations</t>
  </si>
  <si>
    <t>b. Debt</t>
  </si>
  <si>
    <r>
      <t>loan -</t>
    </r>
    <r>
      <rPr>
        <b/>
        <i/>
        <sz val="14"/>
        <color rgb="FFFF0000"/>
        <rFont val="Calibri"/>
        <family val="2"/>
        <scheme val="minor"/>
      </rPr>
      <t xml:space="preserve"> repayments</t>
    </r>
  </si>
  <si>
    <t>Interest on loans</t>
  </si>
  <si>
    <t>Interest is part of the financing and so does not get fed back to the 'Net Cashflow (before funding)' in the preceding worksheets!</t>
  </si>
  <si>
    <t>c.  Equity</t>
  </si>
  <si>
    <t>Recalculation of Income Tax and Minimum Tax- after project funding</t>
  </si>
  <si>
    <r>
      <t xml:space="preserve">Project Funding </t>
    </r>
    <r>
      <rPr>
        <i/>
        <sz val="16"/>
        <color rgb="FFFF0000"/>
        <rFont val="Calibri"/>
        <family val="2"/>
        <scheme val="minor"/>
      </rPr>
      <t xml:space="preserve"> (Financing)</t>
    </r>
  </si>
  <si>
    <t>Interest is deductible for Income Tax but this does not get fed back to the preceding worksheets!</t>
  </si>
  <si>
    <r>
      <t xml:space="preserve">Income Tax </t>
    </r>
    <r>
      <rPr>
        <i/>
        <sz val="11"/>
        <color rgb="FFFF0000"/>
        <rFont val="Calibri"/>
        <family val="2"/>
        <scheme val="minor"/>
      </rPr>
      <t>- after project funding</t>
    </r>
  </si>
  <si>
    <t>There may be little or no change in the tax paid when the interest is deductible because the minimum tax obliterates its impact.</t>
  </si>
  <si>
    <t>Cash Injections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</si>
</sst>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mmm\ yyyy"/>
    <numFmt numFmtId="167" formatCode="0.000"/>
    <numFmt numFmtId="168" formatCode="#,##0.000"/>
  </numFmts>
  <fonts count="89" x14ac:knownFonts="1">
    <font>
      <sz val="11"/>
      <color theme="1"/>
      <name val="Calibri"/>
      <family val="2"/>
      <scheme val="minor"/>
    </font>
    <font>
      <b/>
      <sz val="16"/>
      <color indexed="12"/>
      <name val="Arial"/>
      <family val="2"/>
    </font>
    <font>
      <sz val="11"/>
      <color theme="1"/>
      <name val="Calibri"/>
      <family val="2"/>
      <scheme val="minor"/>
    </font>
    <font>
      <b/>
      <sz val="12"/>
      <color theme="1"/>
      <name val="Calibri"/>
      <family val="2"/>
      <scheme val="minor"/>
    </font>
    <font>
      <b/>
      <sz val="12"/>
      <color rgb="FF000099"/>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sz val="10"/>
      <color theme="1"/>
      <name val="Calibri"/>
      <family val="2"/>
      <scheme val="minor"/>
    </font>
    <font>
      <u/>
      <sz val="11"/>
      <color theme="10"/>
      <name val="Calibri"/>
      <family val="2"/>
      <scheme val="minor"/>
    </font>
    <font>
      <b/>
      <sz val="10"/>
      <color theme="1"/>
      <name val="Calibri"/>
      <family val="2"/>
      <scheme val="minor"/>
    </font>
    <font>
      <sz val="12"/>
      <color indexed="12"/>
      <name val="Arial"/>
      <family val="2"/>
    </font>
    <font>
      <sz val="12"/>
      <color rgb="FF0033CC"/>
      <name val="Arial"/>
      <family val="2"/>
    </font>
    <font>
      <sz val="10"/>
      <name val="Arial"/>
      <family val="2"/>
    </font>
    <font>
      <sz val="10"/>
      <name val="Calibri"/>
      <family val="2"/>
      <scheme val="minor"/>
    </font>
    <font>
      <b/>
      <sz val="12"/>
      <color rgb="FFFF0000"/>
      <name val="Calibri"/>
      <family val="2"/>
      <scheme val="minor"/>
    </font>
    <font>
      <sz val="12"/>
      <color rgb="FFFF00FF"/>
      <name val="Calibri"/>
      <family val="2"/>
      <scheme val="minor"/>
    </font>
    <font>
      <b/>
      <sz val="12"/>
      <name val="Calibri"/>
      <family val="2"/>
      <scheme val="minor"/>
    </font>
    <font>
      <sz val="12"/>
      <name val="Calibri"/>
      <family val="2"/>
      <scheme val="minor"/>
    </font>
    <font>
      <sz val="12"/>
      <color theme="6" tint="-0.499984740745262"/>
      <name val="Calibri"/>
      <family val="2"/>
      <scheme val="minor"/>
    </font>
    <font>
      <sz val="12"/>
      <color rgb="FF000099"/>
      <name val="Calibri"/>
      <family val="2"/>
      <scheme val="minor"/>
    </font>
    <font>
      <sz val="12"/>
      <color theme="0" tint="-0.14999847407452621"/>
      <name val="Calibri"/>
      <family val="2"/>
      <scheme val="minor"/>
    </font>
    <font>
      <b/>
      <sz val="14"/>
      <color indexed="10"/>
      <name val="Calibri"/>
      <family val="2"/>
    </font>
    <font>
      <sz val="10"/>
      <color rgb="FF0070C0"/>
      <name val="Calibri"/>
      <family val="2"/>
      <scheme val="minor"/>
    </font>
    <font>
      <sz val="10"/>
      <color rgb="FF008000"/>
      <name val="Calibri"/>
      <family val="2"/>
      <scheme val="minor"/>
    </font>
    <font>
      <b/>
      <sz val="10"/>
      <name val="Calibri"/>
      <family val="2"/>
      <scheme val="minor"/>
    </font>
    <font>
      <b/>
      <sz val="16"/>
      <color rgb="FFFF0000"/>
      <name val="Calibri"/>
      <family val="2"/>
      <scheme val="minor"/>
    </font>
    <font>
      <b/>
      <sz val="16"/>
      <color theme="1"/>
      <name val="Calibri"/>
      <family val="2"/>
      <scheme val="minor"/>
    </font>
    <font>
      <b/>
      <sz val="10"/>
      <color rgb="FF0033CC"/>
      <name val="Calibri"/>
      <family val="2"/>
      <scheme val="minor"/>
    </font>
    <font>
      <sz val="10"/>
      <color rgb="FF0033CC"/>
      <name val="Calibri"/>
      <family val="2"/>
      <scheme val="minor"/>
    </font>
    <font>
      <b/>
      <sz val="10"/>
      <color rgb="FFFF0000"/>
      <name val="Calibri"/>
      <family val="2"/>
      <scheme val="minor"/>
    </font>
    <font>
      <sz val="10"/>
      <color rgb="FF92D050"/>
      <name val="Calibri"/>
      <family val="2"/>
      <scheme val="minor"/>
    </font>
    <font>
      <sz val="12"/>
      <color rgb="FF008000"/>
      <name val="Calibri"/>
      <family val="2"/>
      <scheme val="minor"/>
    </font>
    <font>
      <i/>
      <sz val="12"/>
      <color theme="1"/>
      <name val="Calibri"/>
      <family val="2"/>
      <scheme val="minor"/>
    </font>
    <font>
      <b/>
      <i/>
      <sz val="12"/>
      <color theme="1"/>
      <name val="Calibri"/>
      <family val="2"/>
      <scheme val="minor"/>
    </font>
    <font>
      <i/>
      <sz val="10"/>
      <color theme="1"/>
      <name val="Calibri"/>
      <family val="2"/>
      <scheme val="minor"/>
    </font>
    <font>
      <b/>
      <i/>
      <sz val="18"/>
      <color rgb="FFFF0000"/>
      <name val="Calibri"/>
      <family val="2"/>
      <scheme val="minor"/>
    </font>
    <font>
      <i/>
      <sz val="16"/>
      <color rgb="FFFF0000"/>
      <name val="Calibri"/>
      <family val="2"/>
      <scheme val="minor"/>
    </font>
    <font>
      <b/>
      <i/>
      <sz val="12"/>
      <color rgb="FF0033CC"/>
      <name val="Calibri"/>
      <family val="2"/>
      <scheme val="minor"/>
    </font>
    <font>
      <i/>
      <sz val="10"/>
      <color rgb="FF0033CC"/>
      <name val="Calibri"/>
      <family val="2"/>
      <scheme val="minor"/>
    </font>
    <font>
      <b/>
      <i/>
      <sz val="16"/>
      <color rgb="FFFF0000"/>
      <name val="Calibri"/>
      <family val="2"/>
      <scheme val="minor"/>
    </font>
    <font>
      <i/>
      <sz val="18"/>
      <color theme="1"/>
      <name val="Calibri"/>
      <family val="2"/>
      <scheme val="minor"/>
    </font>
    <font>
      <i/>
      <sz val="18"/>
      <color rgb="FFFF0000"/>
      <name val="Calibri"/>
      <family val="2"/>
      <scheme val="minor"/>
    </font>
    <font>
      <sz val="10"/>
      <color rgb="FF00B050"/>
      <name val="Calibri"/>
      <family val="2"/>
      <scheme val="minor"/>
    </font>
    <font>
      <b/>
      <i/>
      <sz val="12"/>
      <color rgb="FF3399FF"/>
      <name val="Calibri"/>
      <family val="2"/>
      <scheme val="minor"/>
    </font>
    <font>
      <sz val="10"/>
      <color rgb="FFFF0000"/>
      <name val="Calibri"/>
      <family val="2"/>
      <scheme val="minor"/>
    </font>
    <font>
      <b/>
      <sz val="11"/>
      <color theme="1"/>
      <name val="Calibri"/>
      <family val="2"/>
      <scheme val="minor"/>
    </font>
    <font>
      <b/>
      <sz val="12"/>
      <color indexed="10"/>
      <name val="Calibri"/>
      <family val="2"/>
    </font>
    <font>
      <sz val="10"/>
      <name val="Calibri"/>
      <family val="2"/>
    </font>
    <font>
      <u/>
      <sz val="10"/>
      <color rgb="FF0070C0"/>
      <name val="Calibri"/>
      <family val="2"/>
    </font>
    <font>
      <u/>
      <sz val="10"/>
      <name val="Calibri"/>
      <family val="2"/>
    </font>
    <font>
      <b/>
      <sz val="14"/>
      <color rgb="FFFF66CC"/>
      <name val="Calibri"/>
      <family val="2"/>
    </font>
    <font>
      <sz val="14"/>
      <color indexed="12"/>
      <name val="Arial"/>
      <family val="2"/>
    </font>
    <font>
      <sz val="14"/>
      <color rgb="FF0033CC"/>
      <name val="Arial"/>
      <family val="2"/>
    </font>
    <font>
      <b/>
      <u/>
      <sz val="10"/>
      <name val="Calibri"/>
      <family val="2"/>
    </font>
    <font>
      <b/>
      <sz val="10"/>
      <name val="Calibri"/>
      <family val="2"/>
    </font>
    <font>
      <b/>
      <sz val="10"/>
      <color rgb="FFFF66CC"/>
      <name val="Calibri"/>
      <family val="2"/>
      <scheme val="minor"/>
    </font>
    <font>
      <b/>
      <sz val="20"/>
      <color rgb="FF3399FF"/>
      <name val="Calibri"/>
      <family val="2"/>
      <scheme val="minor"/>
    </font>
    <font>
      <sz val="20"/>
      <color theme="1"/>
      <name val="Calibri"/>
      <family val="2"/>
      <scheme val="minor"/>
    </font>
    <font>
      <b/>
      <sz val="11"/>
      <color rgb="FF0070C0"/>
      <name val="Calibri"/>
      <family val="2"/>
      <scheme val="minor"/>
    </font>
    <font>
      <b/>
      <sz val="10"/>
      <color rgb="FF0070C0"/>
      <name val="Calibri"/>
      <family val="2"/>
      <scheme val="minor"/>
    </font>
    <font>
      <b/>
      <sz val="10"/>
      <color rgb="FFFF00FF"/>
      <name val="Calibri"/>
      <family val="2"/>
      <scheme val="minor"/>
    </font>
    <font>
      <b/>
      <sz val="11"/>
      <color rgb="FF00B050"/>
      <name val="Calibri"/>
      <family val="2"/>
      <scheme val="minor"/>
    </font>
    <font>
      <b/>
      <sz val="10"/>
      <color rgb="FF00B050"/>
      <name val="Calibri"/>
      <family val="2"/>
      <scheme val="minor"/>
    </font>
    <font>
      <b/>
      <sz val="11"/>
      <name val="Calibri"/>
      <family val="2"/>
      <scheme val="minor"/>
    </font>
    <font>
      <b/>
      <i/>
      <sz val="11"/>
      <name val="Calibri"/>
      <family val="2"/>
      <scheme val="minor"/>
    </font>
    <font>
      <b/>
      <i/>
      <sz val="10"/>
      <name val="Calibri"/>
      <family val="2"/>
      <scheme val="minor"/>
    </font>
    <font>
      <b/>
      <sz val="14"/>
      <color rgb="FF0033CC"/>
      <name val="Arial"/>
      <family val="2"/>
    </font>
    <font>
      <b/>
      <sz val="16"/>
      <color rgb="FF00B050"/>
      <name val="Calibri"/>
      <family val="2"/>
      <scheme val="minor"/>
    </font>
    <font>
      <b/>
      <sz val="12"/>
      <color rgb="FFFF3399"/>
      <name val="Arial"/>
      <family val="2"/>
    </font>
    <font>
      <b/>
      <sz val="18"/>
      <color rgb="FFFF0000"/>
      <name val="Calibri"/>
      <family val="2"/>
      <scheme val="minor"/>
    </font>
    <font>
      <b/>
      <sz val="14"/>
      <color rgb="FFFF0000"/>
      <name val="Calibri"/>
      <family val="2"/>
      <scheme val="minor"/>
    </font>
    <font>
      <sz val="10"/>
      <color theme="0" tint="-0.14999847407452621"/>
      <name val="Calibri"/>
      <family val="2"/>
      <scheme val="minor"/>
    </font>
    <font>
      <b/>
      <sz val="12"/>
      <color rgb="FF0033CC"/>
      <name val="Calibri"/>
      <family val="2"/>
      <scheme val="minor"/>
    </font>
    <font>
      <b/>
      <sz val="14"/>
      <color rgb="FF0033CC"/>
      <name val="Calibri"/>
      <family val="2"/>
      <scheme val="minor"/>
    </font>
    <font>
      <b/>
      <sz val="12"/>
      <color rgb="FF008000"/>
      <name val="Calibri"/>
      <family val="2"/>
      <scheme val="minor"/>
    </font>
    <font>
      <b/>
      <i/>
      <sz val="14"/>
      <color rgb="FFFF0000"/>
      <name val="Calibri"/>
      <family val="2"/>
      <scheme val="minor"/>
    </font>
    <font>
      <b/>
      <i/>
      <sz val="14"/>
      <color theme="1"/>
      <name val="Calibri"/>
      <family val="2"/>
      <scheme val="minor"/>
    </font>
    <font>
      <i/>
      <sz val="12"/>
      <name val="Calibri"/>
      <family val="2"/>
      <scheme val="minor"/>
    </font>
    <font>
      <b/>
      <i/>
      <sz val="10"/>
      <color theme="1"/>
      <name val="Calibri"/>
      <family val="2"/>
      <scheme val="minor"/>
    </font>
    <font>
      <b/>
      <i/>
      <sz val="12"/>
      <color rgb="FFFF0000"/>
      <name val="Calibri"/>
      <family val="2"/>
      <scheme val="minor"/>
    </font>
    <font>
      <b/>
      <i/>
      <sz val="10"/>
      <color rgb="FF0033CC"/>
      <name val="Calibri"/>
      <family val="2"/>
      <scheme val="minor"/>
    </font>
    <font>
      <i/>
      <sz val="10"/>
      <name val="Calibri"/>
      <family val="2"/>
      <scheme val="minor"/>
    </font>
    <font>
      <i/>
      <sz val="18"/>
      <color rgb="FFFF66CC"/>
      <name val="Calibri"/>
      <family val="2"/>
      <scheme val="minor"/>
    </font>
    <font>
      <i/>
      <sz val="10"/>
      <color theme="9" tint="-0.249977111117893"/>
      <name val="Calibri"/>
      <family val="2"/>
      <scheme val="minor"/>
    </font>
    <font>
      <sz val="10"/>
      <color theme="9" tint="-0.249977111117893"/>
      <name val="Calibri"/>
      <family val="2"/>
      <scheme val="minor"/>
    </font>
    <font>
      <b/>
      <sz val="10"/>
      <color theme="9" tint="-0.249977111117893"/>
      <name val="Calibri"/>
      <family val="2"/>
      <scheme val="minor"/>
    </font>
    <font>
      <b/>
      <i/>
      <sz val="12"/>
      <color rgb="FFFF6699"/>
      <name val="Calibri"/>
      <family val="2"/>
      <scheme val="minor"/>
    </font>
    <font>
      <i/>
      <sz val="11"/>
      <color rgb="FFFF0000"/>
      <name val="Calibri"/>
      <family val="2"/>
      <scheme val="minor"/>
    </font>
  </fonts>
  <fills count="4">
    <fill>
      <patternFill patternType="none"/>
    </fill>
    <fill>
      <patternFill patternType="gray125"/>
    </fill>
    <fill>
      <patternFill patternType="solid">
        <fgColor rgb="FF99CCFF"/>
        <bgColor indexed="64"/>
      </patternFill>
    </fill>
    <fill>
      <patternFill patternType="solid">
        <fgColor rgb="FFE7F6FF"/>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auto="1"/>
      </left>
      <right style="medium">
        <color auto="1"/>
      </right>
      <top style="thin">
        <color auto="1"/>
      </top>
      <bottom style="medium">
        <color auto="1"/>
      </bottom>
      <diagonal/>
    </border>
  </borders>
  <cellStyleXfs count="4">
    <xf numFmtId="0" fontId="0" fillId="0" borderId="0"/>
    <xf numFmtId="9" fontId="2" fillId="0" borderId="0" applyFont="0" applyFill="0" applyBorder="0" applyAlignment="0" applyProtection="0"/>
    <xf numFmtId="0" fontId="9" fillId="0" borderId="0" applyNumberFormat="0" applyFill="0" applyBorder="0" applyAlignment="0" applyProtection="0"/>
    <xf numFmtId="43" fontId="2" fillId="0" borderId="0" applyFont="0" applyFill="0" applyBorder="0" applyAlignment="0" applyProtection="0"/>
  </cellStyleXfs>
  <cellXfs count="262">
    <xf numFmtId="0" fontId="0" fillId="0" borderId="0" xfId="0"/>
    <xf numFmtId="0" fontId="3" fillId="0" borderId="0" xfId="0" applyFont="1" applyAlignment="1">
      <alignment horizontal="center"/>
    </xf>
    <xf numFmtId="9" fontId="4" fillId="2" borderId="0" xfId="0" applyNumberFormat="1" applyFont="1" applyFill="1" applyAlignment="1">
      <alignment horizontal="center"/>
    </xf>
    <xf numFmtId="0" fontId="6" fillId="0" borderId="0" xfId="0" applyFont="1" applyAlignment="1">
      <alignment horizontal="center"/>
    </xf>
    <xf numFmtId="0" fontId="3" fillId="0" borderId="0" xfId="0" applyFont="1" applyAlignment="1">
      <alignment horizontal="center" vertical="center"/>
    </xf>
    <xf numFmtId="0" fontId="6" fillId="0" borderId="0" xfId="0" applyFont="1"/>
    <xf numFmtId="0" fontId="3" fillId="0" borderId="0" xfId="0" applyFont="1"/>
    <xf numFmtId="0" fontId="8" fillId="0" borderId="0" xfId="0" applyFont="1"/>
    <xf numFmtId="0" fontId="10" fillId="0" borderId="0" xfId="0" applyFont="1"/>
    <xf numFmtId="0" fontId="10" fillId="0" borderId="0" xfId="0" applyFont="1" applyAlignment="1">
      <alignment horizontal="center"/>
    </xf>
    <xf numFmtId="0" fontId="11" fillId="0" borderId="0" xfId="0" applyFont="1"/>
    <xf numFmtId="15" fontId="11" fillId="0" borderId="0" xfId="0" applyNumberFormat="1" applyFont="1"/>
    <xf numFmtId="0" fontId="11" fillId="0" borderId="0" xfId="0" applyFont="1" applyAlignment="1">
      <alignment horizontal="center"/>
    </xf>
    <xf numFmtId="15" fontId="12" fillId="0" borderId="0" xfId="0" applyNumberFormat="1" applyFont="1" applyAlignment="1">
      <alignment horizontal="center"/>
    </xf>
    <xf numFmtId="0" fontId="14" fillId="0" borderId="0" xfId="0" applyFont="1"/>
    <xf numFmtId="0" fontId="13" fillId="0" borderId="0" xfId="0" applyFont="1" applyAlignment="1">
      <alignment horizontal="center"/>
    </xf>
    <xf numFmtId="15" fontId="13" fillId="0" borderId="0" xfId="0" applyNumberFormat="1" applyFont="1" applyAlignment="1">
      <alignment horizontal="center"/>
    </xf>
    <xf numFmtId="0" fontId="8"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15" fillId="0" borderId="0" xfId="0" applyFont="1" applyAlignment="1">
      <alignment vertical="center"/>
    </xf>
    <xf numFmtId="164" fontId="3" fillId="0" borderId="0" xfId="1" applyNumberFormat="1" applyFont="1" applyAlignment="1">
      <alignment horizontal="center"/>
    </xf>
    <xf numFmtId="0" fontId="16" fillId="0" borderId="0" xfId="0" applyFont="1" applyAlignment="1">
      <alignment horizontal="center"/>
    </xf>
    <xf numFmtId="0" fontId="15" fillId="0" borderId="0" xfId="0" applyFont="1"/>
    <xf numFmtId="38" fontId="3" fillId="0" borderId="0" xfId="0" applyNumberFormat="1" applyFont="1"/>
    <xf numFmtId="38" fontId="3" fillId="0" borderId="0" xfId="0" applyNumberFormat="1" applyFont="1" applyAlignment="1">
      <alignment horizontal="center"/>
    </xf>
    <xf numFmtId="0" fontId="19" fillId="0" borderId="0" xfId="0" applyFont="1"/>
    <xf numFmtId="3" fontId="19" fillId="0" borderId="0" xfId="0" applyNumberFormat="1" applyFont="1" applyAlignment="1">
      <alignment horizontal="right"/>
    </xf>
    <xf numFmtId="0" fontId="20" fillId="2" borderId="0" xfId="0" applyFont="1" applyFill="1" applyAlignment="1">
      <alignment horizontal="center"/>
    </xf>
    <xf numFmtId="9" fontId="20" fillId="2" borderId="0" xfId="0" applyNumberFormat="1" applyFont="1" applyFill="1" applyAlignment="1">
      <alignment horizontal="center"/>
    </xf>
    <xf numFmtId="0" fontId="21" fillId="0" borderId="0" xfId="0" applyFont="1" applyAlignment="1">
      <alignment horizontal="center" vertical="center"/>
    </xf>
    <xf numFmtId="0" fontId="21" fillId="0" borderId="0" xfId="0" applyFont="1" applyAlignment="1">
      <alignment vertical="center"/>
    </xf>
    <xf numFmtId="0" fontId="17" fillId="0" borderId="0" xfId="0" applyFont="1" applyAlignment="1">
      <alignment vertical="center"/>
    </xf>
    <xf numFmtId="0" fontId="18" fillId="0" borderId="0" xfId="0" applyFont="1" applyAlignment="1">
      <alignment horizontal="center" vertical="center"/>
    </xf>
    <xf numFmtId="164" fontId="17" fillId="0" borderId="0" xfId="1" applyNumberFormat="1" applyFont="1" applyAlignment="1">
      <alignment horizontal="center" vertical="center"/>
    </xf>
    <xf numFmtId="0" fontId="23" fillId="0" borderId="0" xfId="0" applyFont="1"/>
    <xf numFmtId="0" fontId="14" fillId="0" borderId="0" xfId="0" applyFont="1" applyAlignment="1">
      <alignment horizontal="center"/>
    </xf>
    <xf numFmtId="0" fontId="26" fillId="0" borderId="0" xfId="0" applyFont="1" applyAlignment="1">
      <alignment vertical="center"/>
    </xf>
    <xf numFmtId="0" fontId="7" fillId="0" borderId="0" xfId="0" applyFont="1" applyAlignment="1">
      <alignment vertical="center"/>
    </xf>
    <xf numFmtId="0" fontId="8" fillId="0" borderId="0" xfId="0" applyFont="1" applyAlignment="1">
      <alignment horizontal="center"/>
    </xf>
    <xf numFmtId="0" fontId="10" fillId="0" borderId="0" xfId="0" applyFont="1" applyAlignment="1">
      <alignment horizontal="center" vertical="center"/>
    </xf>
    <xf numFmtId="0" fontId="30" fillId="0" borderId="0" xfId="0" applyFont="1"/>
    <xf numFmtId="3" fontId="10" fillId="0" borderId="0" xfId="0" applyNumberFormat="1" applyFont="1" applyAlignment="1">
      <alignment horizontal="center"/>
    </xf>
    <xf numFmtId="3" fontId="10" fillId="0" borderId="0" xfId="0" applyNumberFormat="1" applyFont="1"/>
    <xf numFmtId="3" fontId="10" fillId="0" borderId="2" xfId="0" applyNumberFormat="1" applyFont="1" applyBorder="1" applyAlignment="1">
      <alignment horizontal="center"/>
    </xf>
    <xf numFmtId="3" fontId="8" fillId="0" borderId="0" xfId="0" applyNumberFormat="1" applyFont="1"/>
    <xf numFmtId="3" fontId="8" fillId="0" borderId="0" xfId="0" applyNumberFormat="1" applyFont="1" applyAlignment="1">
      <alignment horizontal="center"/>
    </xf>
    <xf numFmtId="0" fontId="25" fillId="0" borderId="0" xfId="0" applyFont="1"/>
    <xf numFmtId="38" fontId="10" fillId="0" borderId="0" xfId="0" applyNumberFormat="1" applyFont="1" applyAlignment="1">
      <alignment horizontal="center"/>
    </xf>
    <xf numFmtId="38" fontId="10" fillId="0" borderId="3" xfId="0" applyNumberFormat="1" applyFont="1" applyBorder="1" applyAlignment="1">
      <alignment horizontal="center"/>
    </xf>
    <xf numFmtId="0" fontId="31" fillId="0" borderId="0" xfId="0" applyFont="1"/>
    <xf numFmtId="166" fontId="14" fillId="0" borderId="0" xfId="0" applyNumberFormat="1" applyFont="1" applyAlignment="1">
      <alignment horizontal="center"/>
    </xf>
    <xf numFmtId="3" fontId="28" fillId="3" borderId="0" xfId="0" applyNumberFormat="1" applyFont="1" applyFill="1" applyAlignment="1">
      <alignment horizontal="center"/>
    </xf>
    <xf numFmtId="38" fontId="8" fillId="0" borderId="0" xfId="0" applyNumberFormat="1" applyFont="1" applyAlignment="1">
      <alignment horizontal="center"/>
    </xf>
    <xf numFmtId="3" fontId="25" fillId="0" borderId="0" xfId="0" applyNumberFormat="1" applyFont="1"/>
    <xf numFmtId="3" fontId="14" fillId="0" borderId="0" xfId="0" applyNumberFormat="1" applyFont="1"/>
    <xf numFmtId="3" fontId="25" fillId="0" borderId="2" xfId="0" applyNumberFormat="1" applyFont="1" applyBorder="1" applyAlignment="1">
      <alignment horizontal="center"/>
    </xf>
    <xf numFmtId="4" fontId="8" fillId="0" borderId="2" xfId="0" applyNumberFormat="1" applyFont="1" applyBorder="1" applyAlignment="1">
      <alignment horizontal="center"/>
    </xf>
    <xf numFmtId="165" fontId="8" fillId="0" borderId="0" xfId="0" applyNumberFormat="1" applyFont="1" applyAlignment="1">
      <alignment horizontal="center"/>
    </xf>
    <xf numFmtId="0" fontId="8" fillId="0" borderId="0" xfId="0" applyFont="1" applyAlignment="1">
      <alignment horizontal="right"/>
    </xf>
    <xf numFmtId="38" fontId="8" fillId="0" borderId="0" xfId="0" applyNumberFormat="1" applyFont="1" applyAlignment="1">
      <alignment horizontal="right"/>
    </xf>
    <xf numFmtId="38" fontId="8" fillId="0" borderId="2" xfId="0" applyNumberFormat="1" applyFont="1" applyBorder="1" applyAlignment="1">
      <alignment horizontal="center"/>
    </xf>
    <xf numFmtId="38" fontId="8" fillId="0" borderId="0" xfId="0" applyNumberFormat="1" applyFont="1"/>
    <xf numFmtId="38" fontId="10" fillId="0" borderId="0" xfId="0" applyNumberFormat="1" applyFont="1"/>
    <xf numFmtId="2" fontId="8" fillId="0" borderId="0" xfId="0" applyNumberFormat="1" applyFont="1" applyAlignment="1">
      <alignment horizontal="center"/>
    </xf>
    <xf numFmtId="167" fontId="8" fillId="0" borderId="1" xfId="0" applyNumberFormat="1" applyFont="1" applyBorder="1" applyAlignment="1">
      <alignment horizontal="center"/>
    </xf>
    <xf numFmtId="38" fontId="8" fillId="0" borderId="1" xfId="0" applyNumberFormat="1" applyFont="1" applyBorder="1" applyAlignment="1">
      <alignment horizontal="center"/>
    </xf>
    <xf numFmtId="38" fontId="5" fillId="0" borderId="0" xfId="0" applyNumberFormat="1" applyFont="1" applyAlignment="1">
      <alignment horizontal="center" vertical="center"/>
    </xf>
    <xf numFmtId="3" fontId="25" fillId="0" borderId="0" xfId="0" applyNumberFormat="1" applyFont="1" applyAlignment="1">
      <alignment horizontal="center"/>
    </xf>
    <xf numFmtId="38" fontId="10" fillId="0" borderId="1" xfId="0" applyNumberFormat="1" applyFont="1" applyBorder="1" applyAlignment="1">
      <alignment horizontal="center"/>
    </xf>
    <xf numFmtId="0" fontId="8"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36" fillId="0" borderId="0" xfId="0" applyFont="1" applyAlignment="1">
      <alignment vertical="center"/>
    </xf>
    <xf numFmtId="3" fontId="14" fillId="0" borderId="0" xfId="0" applyNumberFormat="1" applyFont="1" applyAlignment="1">
      <alignment horizontal="center"/>
    </xf>
    <xf numFmtId="38" fontId="25" fillId="0" borderId="2" xfId="0" applyNumberFormat="1" applyFont="1" applyBorder="1" applyAlignment="1">
      <alignment horizontal="center"/>
    </xf>
    <xf numFmtId="0" fontId="22" fillId="0" borderId="0" xfId="0" applyFont="1"/>
    <xf numFmtId="0" fontId="44" fillId="0" borderId="0" xfId="0" applyFont="1" applyAlignment="1">
      <alignment vertical="center"/>
    </xf>
    <xf numFmtId="0" fontId="8" fillId="0" borderId="0" xfId="0" applyFont="1" applyAlignment="1">
      <alignment horizontal="left" vertical="center"/>
    </xf>
    <xf numFmtId="38" fontId="8" fillId="0" borderId="0" xfId="0" applyNumberFormat="1" applyFont="1" applyAlignment="1">
      <alignment vertical="center"/>
    </xf>
    <xf numFmtId="9" fontId="8" fillId="0" borderId="0" xfId="1" applyFont="1"/>
    <xf numFmtId="0" fontId="45" fillId="0" borderId="0" xfId="0" applyFont="1"/>
    <xf numFmtId="0" fontId="1" fillId="0" borderId="0" xfId="0" applyFont="1" applyAlignment="1">
      <alignment vertical="center"/>
    </xf>
    <xf numFmtId="0" fontId="1" fillId="0" borderId="0" xfId="0" applyFont="1" applyAlignment="1">
      <alignment horizontal="center" vertical="center"/>
    </xf>
    <xf numFmtId="0" fontId="47" fillId="0" borderId="0" xfId="0" applyFont="1"/>
    <xf numFmtId="0" fontId="14" fillId="0" borderId="0" xfId="2" applyFont="1" applyFill="1"/>
    <xf numFmtId="0" fontId="48" fillId="0" borderId="0" xfId="0" applyFont="1" applyAlignment="1">
      <alignment vertical="center"/>
    </xf>
    <xf numFmtId="0" fontId="51" fillId="0" borderId="0" xfId="0" applyFont="1" applyAlignment="1">
      <alignment vertical="center"/>
    </xf>
    <xf numFmtId="0" fontId="52" fillId="0" borderId="0" xfId="0" applyFont="1"/>
    <xf numFmtId="15" fontId="52" fillId="0" borderId="0" xfId="0" applyNumberFormat="1" applyFont="1"/>
    <xf numFmtId="0" fontId="7" fillId="0" borderId="0" xfId="0" applyFont="1"/>
    <xf numFmtId="0" fontId="52" fillId="0" borderId="0" xfId="0" applyFont="1" applyAlignment="1">
      <alignment horizontal="center"/>
    </xf>
    <xf numFmtId="15" fontId="53" fillId="0" borderId="0" xfId="0" applyNumberFormat="1" applyFont="1" applyAlignment="1">
      <alignment horizontal="center"/>
    </xf>
    <xf numFmtId="15" fontId="53" fillId="0" borderId="0" xfId="0" applyNumberFormat="1" applyFont="1" applyAlignment="1">
      <alignment horizontal="center" vertical="center"/>
    </xf>
    <xf numFmtId="0" fontId="7" fillId="0" borderId="0" xfId="0" applyFont="1" applyAlignment="1">
      <alignment horizontal="center" vertical="center"/>
    </xf>
    <xf numFmtId="0" fontId="13" fillId="0" borderId="0" xfId="0" applyFont="1"/>
    <xf numFmtId="0" fontId="56" fillId="0" borderId="0" xfId="0" applyFont="1"/>
    <xf numFmtId="0" fontId="57" fillId="0" borderId="0" xfId="0" applyFont="1" applyAlignment="1">
      <alignment vertical="center"/>
    </xf>
    <xf numFmtId="0" fontId="58" fillId="0" borderId="0" xfId="0" applyFont="1" applyAlignment="1">
      <alignment vertical="center"/>
    </xf>
    <xf numFmtId="0" fontId="58" fillId="0" borderId="0" xfId="0" applyFont="1" applyAlignment="1">
      <alignment horizontal="center" vertical="center"/>
    </xf>
    <xf numFmtId="0" fontId="58" fillId="0" borderId="0" xfId="0" applyFont="1"/>
    <xf numFmtId="0" fontId="59" fillId="0" borderId="0" xfId="0" applyFont="1" applyAlignment="1">
      <alignment vertical="center"/>
    </xf>
    <xf numFmtId="0" fontId="60" fillId="0" borderId="0" xfId="0" applyFont="1" applyAlignment="1">
      <alignment horizontal="center"/>
    </xf>
    <xf numFmtId="0" fontId="61" fillId="0" borderId="0" xfId="0" applyFont="1" applyAlignment="1">
      <alignment horizontal="center"/>
    </xf>
    <xf numFmtId="0" fontId="62" fillId="0" borderId="0" xfId="0" applyFont="1"/>
    <xf numFmtId="0" fontId="43" fillId="0" borderId="0" xfId="0" applyFont="1"/>
    <xf numFmtId="0" fontId="64" fillId="0" borderId="0" xfId="0" applyFont="1"/>
    <xf numFmtId="0" fontId="65" fillId="0" borderId="0" xfId="0" applyFont="1"/>
    <xf numFmtId="0" fontId="66" fillId="0" borderId="0" xfId="0" applyFont="1" applyAlignment="1">
      <alignment horizontal="center"/>
    </xf>
    <xf numFmtId="0" fontId="17" fillId="0" borderId="0" xfId="0" applyFont="1"/>
    <xf numFmtId="3" fontId="63" fillId="0" borderId="0" xfId="3" applyNumberFormat="1" applyFont="1" applyAlignment="1">
      <alignment horizontal="left" vertical="center"/>
    </xf>
    <xf numFmtId="3" fontId="63" fillId="0" borderId="0" xfId="3" applyNumberFormat="1" applyFont="1" applyAlignment="1">
      <alignment horizontal="center" vertical="center"/>
    </xf>
    <xf numFmtId="3" fontId="8" fillId="0" borderId="0" xfId="3" applyNumberFormat="1" applyFont="1" applyAlignment="1">
      <alignment vertical="center"/>
    </xf>
    <xf numFmtId="3" fontId="62" fillId="0" borderId="0" xfId="3" applyNumberFormat="1" applyFont="1" applyAlignment="1">
      <alignment horizontal="center" vertical="center"/>
    </xf>
    <xf numFmtId="0" fontId="67" fillId="0" borderId="0" xfId="0" applyFont="1" applyAlignment="1">
      <alignment vertical="center"/>
    </xf>
    <xf numFmtId="0" fontId="68" fillId="0" borderId="0" xfId="0" applyFont="1" applyAlignment="1">
      <alignment vertical="center"/>
    </xf>
    <xf numFmtId="0" fontId="27" fillId="0" borderId="0" xfId="0" applyFont="1" applyAlignment="1">
      <alignment horizontal="center" vertical="center"/>
    </xf>
    <xf numFmtId="0" fontId="69" fillId="0" borderId="0" xfId="0" applyFont="1" applyAlignment="1">
      <alignment vertical="center"/>
    </xf>
    <xf numFmtId="0" fontId="70" fillId="0" borderId="0" xfId="0" applyFont="1" applyAlignment="1">
      <alignment vertical="center"/>
    </xf>
    <xf numFmtId="0" fontId="5" fillId="0" borderId="0" xfId="0" applyFont="1" applyAlignment="1">
      <alignment horizontal="center"/>
    </xf>
    <xf numFmtId="0" fontId="7" fillId="0" borderId="0" xfId="0" applyFont="1" applyAlignment="1">
      <alignment horizontal="center"/>
    </xf>
    <xf numFmtId="0" fontId="71" fillId="0" borderId="0" xfId="0" applyFont="1" applyAlignment="1">
      <alignment vertical="center"/>
    </xf>
    <xf numFmtId="38" fontId="10" fillId="0" borderId="0" xfId="0" applyNumberFormat="1" applyFont="1" applyAlignment="1">
      <alignment horizontal="center" vertical="center"/>
    </xf>
    <xf numFmtId="0" fontId="14" fillId="0" borderId="0" xfId="0" applyFont="1" applyAlignment="1">
      <alignment horizontal="left" vertical="center"/>
    </xf>
    <xf numFmtId="164" fontId="14" fillId="0" borderId="0" xfId="1" applyNumberFormat="1" applyFont="1" applyAlignment="1">
      <alignment horizontal="left" vertical="center"/>
    </xf>
    <xf numFmtId="0" fontId="72" fillId="0" borderId="0" xfId="0" applyFont="1" applyAlignment="1">
      <alignment horizontal="center" vertical="center"/>
    </xf>
    <xf numFmtId="0" fontId="72" fillId="0" borderId="0" xfId="0" applyFont="1" applyAlignment="1">
      <alignment vertical="center"/>
    </xf>
    <xf numFmtId="3" fontId="8" fillId="0" borderId="0" xfId="0" applyNumberFormat="1" applyFont="1" applyAlignment="1">
      <alignment horizontal="center" vertical="center"/>
    </xf>
    <xf numFmtId="38" fontId="3" fillId="0" borderId="0" xfId="0" applyNumberFormat="1" applyFont="1" applyAlignment="1">
      <alignment vertical="center"/>
    </xf>
    <xf numFmtId="0" fontId="73" fillId="0" borderId="0" xfId="0" applyFont="1" applyFill="1" applyAlignment="1">
      <alignment horizontal="center" vertical="center"/>
    </xf>
    <xf numFmtId="166" fontId="73" fillId="0" borderId="0" xfId="0" applyNumberFormat="1" applyFont="1" applyFill="1" applyAlignment="1">
      <alignment horizontal="center" vertical="center"/>
    </xf>
    <xf numFmtId="0" fontId="6" fillId="0" borderId="0" xfId="0" applyFont="1" applyFill="1" applyAlignment="1">
      <alignment horizontal="center" vertical="center"/>
    </xf>
    <xf numFmtId="164" fontId="5" fillId="0" borderId="0" xfId="1" applyNumberFormat="1" applyFont="1" applyAlignment="1">
      <alignment horizontal="center" vertical="center"/>
    </xf>
    <xf numFmtId="0" fontId="5" fillId="0" borderId="0" xfId="0" applyFont="1" applyAlignment="1">
      <alignment horizontal="center" vertical="center"/>
    </xf>
    <xf numFmtId="3" fontId="29" fillId="0" borderId="0" xfId="0" applyNumberFormat="1" applyFont="1" applyFill="1" applyAlignment="1">
      <alignment horizontal="center" vertical="center" wrapText="1"/>
    </xf>
    <xf numFmtId="0" fontId="8" fillId="0" borderId="0" xfId="0" applyFont="1" applyFill="1" applyAlignment="1">
      <alignment horizontal="center" vertical="center" wrapText="1"/>
    </xf>
    <xf numFmtId="3" fontId="29" fillId="0" borderId="0" xfId="0" applyNumberFormat="1" applyFont="1" applyFill="1"/>
    <xf numFmtId="3" fontId="10" fillId="0" borderId="0" xfId="0" applyNumberFormat="1" applyFont="1" applyFill="1" applyAlignment="1">
      <alignment horizontal="center"/>
    </xf>
    <xf numFmtId="3" fontId="28" fillId="0" borderId="0" xfId="0" applyNumberFormat="1" applyFont="1" applyFill="1" applyAlignment="1">
      <alignment horizontal="center"/>
    </xf>
    <xf numFmtId="0" fontId="8" fillId="0" borderId="0" xfId="0" applyFont="1" applyFill="1"/>
    <xf numFmtId="4" fontId="10" fillId="0" borderId="0" xfId="0" applyNumberFormat="1" applyFont="1" applyFill="1" applyAlignment="1">
      <alignment horizontal="center"/>
    </xf>
    <xf numFmtId="4" fontId="28" fillId="0" borderId="0" xfId="0" applyNumberFormat="1" applyFont="1" applyFill="1" applyAlignment="1">
      <alignment horizontal="center"/>
    </xf>
    <xf numFmtId="168" fontId="28" fillId="0" borderId="0" xfId="0" applyNumberFormat="1" applyFont="1" applyFill="1" applyAlignment="1">
      <alignment horizontal="center"/>
    </xf>
    <xf numFmtId="3" fontId="3" fillId="0" borderId="0" xfId="0" applyNumberFormat="1" applyFont="1" applyFill="1" applyAlignment="1">
      <alignment horizontal="center"/>
    </xf>
    <xf numFmtId="0" fontId="6" fillId="0" borderId="0" xfId="0" applyFont="1" applyFill="1"/>
    <xf numFmtId="3" fontId="29" fillId="0" borderId="0" xfId="0" quotePrefix="1" applyNumberFormat="1" applyFont="1" applyFill="1"/>
    <xf numFmtId="9" fontId="29" fillId="0" borderId="0" xfId="1" applyFont="1" applyFill="1" applyAlignment="1">
      <alignment horizontal="center"/>
    </xf>
    <xf numFmtId="9" fontId="8" fillId="0" borderId="0" xfId="1" applyFont="1" applyAlignment="1">
      <alignment horizontal="center"/>
    </xf>
    <xf numFmtId="164" fontId="8" fillId="0" borderId="0" xfId="1" applyNumberFormat="1" applyFont="1" applyAlignment="1">
      <alignment horizontal="center"/>
    </xf>
    <xf numFmtId="0" fontId="45" fillId="0" borderId="0" xfId="0" applyFont="1" applyAlignment="1">
      <alignment vertical="center"/>
    </xf>
    <xf numFmtId="3" fontId="8" fillId="0" borderId="0" xfId="0" applyNumberFormat="1" applyFont="1" applyAlignment="1">
      <alignment vertical="center"/>
    </xf>
    <xf numFmtId="38" fontId="10" fillId="0" borderId="2" xfId="0" applyNumberFormat="1" applyFont="1" applyBorder="1" applyAlignment="1">
      <alignment horizontal="center"/>
    </xf>
    <xf numFmtId="9" fontId="29" fillId="0" borderId="0" xfId="1" applyFont="1" applyFill="1"/>
    <xf numFmtId="3" fontId="8" fillId="0" borderId="0" xfId="0" applyNumberFormat="1" applyFont="1" applyFill="1" applyAlignment="1">
      <alignment horizontal="center"/>
    </xf>
    <xf numFmtId="164" fontId="29" fillId="0" borderId="0" xfId="1" applyNumberFormat="1" applyFont="1" applyFill="1" applyAlignment="1">
      <alignment horizontal="center"/>
    </xf>
    <xf numFmtId="38" fontId="14" fillId="0" borderId="0" xfId="0" applyNumberFormat="1" applyFont="1" applyAlignment="1">
      <alignment horizontal="center"/>
    </xf>
    <xf numFmtId="0" fontId="8" fillId="0" borderId="0" xfId="0" applyFont="1" applyFill="1" applyAlignment="1">
      <alignment horizontal="center"/>
    </xf>
    <xf numFmtId="3" fontId="73" fillId="0" borderId="0" xfId="0" applyNumberFormat="1" applyFont="1" applyFill="1" applyAlignment="1">
      <alignment horizontal="center"/>
    </xf>
    <xf numFmtId="164" fontId="3" fillId="0" borderId="1" xfId="1" applyNumberFormat="1" applyFont="1" applyBorder="1" applyAlignment="1">
      <alignment horizontal="center"/>
    </xf>
    <xf numFmtId="10" fontId="29" fillId="0" borderId="0" xfId="1" applyNumberFormat="1" applyFont="1" applyFill="1" applyAlignment="1">
      <alignment horizontal="center"/>
    </xf>
    <xf numFmtId="3" fontId="8" fillId="0" borderId="0" xfId="0" applyNumberFormat="1" applyFont="1" applyAlignment="1">
      <alignment horizontal="right"/>
    </xf>
    <xf numFmtId="0" fontId="74" fillId="0" borderId="0" xfId="0" applyFont="1" applyFill="1" applyAlignment="1">
      <alignment horizontal="center" vertical="center"/>
    </xf>
    <xf numFmtId="38" fontId="0" fillId="0" borderId="0" xfId="0" applyNumberFormat="1" applyFont="1" applyAlignment="1">
      <alignment vertical="center"/>
    </xf>
    <xf numFmtId="3" fontId="0" fillId="0" borderId="0" xfId="0" applyNumberFormat="1" applyFont="1" applyAlignment="1">
      <alignment horizontal="center" vertical="center"/>
    </xf>
    <xf numFmtId="3" fontId="6" fillId="0" borderId="0" xfId="0" applyNumberFormat="1" applyFont="1" applyFill="1" applyAlignment="1">
      <alignment horizontal="center" vertical="center"/>
    </xf>
    <xf numFmtId="165" fontId="6" fillId="0" borderId="0" xfId="0" applyNumberFormat="1" applyFont="1" applyFill="1" applyAlignment="1">
      <alignment horizontal="center" vertical="center"/>
    </xf>
    <xf numFmtId="3" fontId="6" fillId="0" borderId="0" xfId="0" applyNumberFormat="1" applyFont="1" applyFill="1" applyAlignment="1">
      <alignment vertical="center"/>
    </xf>
    <xf numFmtId="0" fontId="3" fillId="0" borderId="0" xfId="0" applyFont="1" applyFill="1" applyAlignment="1">
      <alignment horizontal="center"/>
    </xf>
    <xf numFmtId="3" fontId="32" fillId="0" borderId="0" xfId="0" applyNumberFormat="1" applyFont="1" applyFill="1"/>
    <xf numFmtId="3" fontId="24" fillId="0" borderId="0" xfId="0" applyNumberFormat="1" applyFont="1" applyFill="1"/>
    <xf numFmtId="3" fontId="32" fillId="0" borderId="0" xfId="0" applyNumberFormat="1" applyFont="1" applyFill="1" applyAlignment="1">
      <alignment horizontal="center"/>
    </xf>
    <xf numFmtId="3" fontId="35" fillId="0" borderId="0" xfId="0" applyNumberFormat="1" applyFont="1" applyFill="1"/>
    <xf numFmtId="3" fontId="34" fillId="0" borderId="0" xfId="0" applyNumberFormat="1" applyFont="1" applyFill="1" applyAlignment="1">
      <alignment horizontal="center"/>
    </xf>
    <xf numFmtId="3" fontId="33" fillId="0" borderId="0" xfId="0" applyNumberFormat="1" applyFont="1" applyFill="1" applyAlignment="1">
      <alignment horizontal="center"/>
    </xf>
    <xf numFmtId="3" fontId="33" fillId="0" borderId="0" xfId="0" applyNumberFormat="1" applyFont="1" applyFill="1"/>
    <xf numFmtId="3" fontId="39" fillId="0" borderId="0" xfId="0" applyNumberFormat="1" applyFont="1" applyFill="1"/>
    <xf numFmtId="0" fontId="35" fillId="0" borderId="0" xfId="0" applyFont="1" applyFill="1"/>
    <xf numFmtId="38" fontId="34" fillId="0" borderId="0" xfId="0" applyNumberFormat="1" applyFont="1" applyFill="1" applyAlignment="1">
      <alignment vertical="center" wrapText="1"/>
    </xf>
    <xf numFmtId="38" fontId="35" fillId="0" borderId="0" xfId="0" applyNumberFormat="1" applyFont="1" applyFill="1" applyAlignment="1">
      <alignment vertical="center"/>
    </xf>
    <xf numFmtId="38" fontId="34" fillId="0" borderId="4" xfId="0" applyNumberFormat="1" applyFont="1" applyFill="1" applyBorder="1" applyAlignment="1">
      <alignment horizontal="center" vertical="center"/>
    </xf>
    <xf numFmtId="38" fontId="34" fillId="0" borderId="2" xfId="0" applyNumberFormat="1" applyFont="1" applyFill="1" applyBorder="1" applyAlignment="1">
      <alignment horizontal="center" vertical="center"/>
    </xf>
    <xf numFmtId="38" fontId="33" fillId="0" borderId="0" xfId="0" applyNumberFormat="1" applyFont="1" applyFill="1" applyAlignment="1">
      <alignment vertical="center"/>
    </xf>
    <xf numFmtId="38" fontId="34" fillId="0" borderId="3" xfId="0" applyNumberFormat="1" applyFont="1" applyFill="1" applyBorder="1" applyAlignment="1">
      <alignment horizontal="center"/>
    </xf>
    <xf numFmtId="3" fontId="38" fillId="0" borderId="0" xfId="0" applyNumberFormat="1" applyFont="1" applyFill="1"/>
    <xf numFmtId="0" fontId="34" fillId="0" borderId="0" xfId="0" applyFont="1" applyFill="1"/>
    <xf numFmtId="3" fontId="35" fillId="0" borderId="0" xfId="0" applyNumberFormat="1" applyFont="1" applyFill="1" applyAlignment="1">
      <alignment vertical="center"/>
    </xf>
    <xf numFmtId="3" fontId="34" fillId="0" borderId="2" xfId="0" applyNumberFormat="1" applyFont="1" applyFill="1" applyBorder="1" applyAlignment="1">
      <alignment horizontal="center" vertical="center"/>
    </xf>
    <xf numFmtId="3" fontId="34" fillId="0" borderId="0" xfId="0" applyNumberFormat="1" applyFont="1" applyFill="1" applyAlignment="1">
      <alignment vertical="center"/>
    </xf>
    <xf numFmtId="38" fontId="34" fillId="0" borderId="0" xfId="0" applyNumberFormat="1" applyFont="1" applyFill="1" applyAlignment="1">
      <alignment horizontal="center" vertical="center"/>
    </xf>
    <xf numFmtId="3" fontId="33" fillId="0" borderId="0" xfId="0" applyNumberFormat="1" applyFont="1" applyFill="1" applyAlignment="1">
      <alignment vertical="center"/>
    </xf>
    <xf numFmtId="38" fontId="33" fillId="0" borderId="0" xfId="0" applyNumberFormat="1" applyFont="1" applyFill="1"/>
    <xf numFmtId="38" fontId="35" fillId="0" borderId="0" xfId="0" applyNumberFormat="1" applyFont="1" applyFill="1"/>
    <xf numFmtId="38" fontId="35" fillId="0" borderId="0" xfId="0" quotePrefix="1" applyNumberFormat="1" applyFont="1" applyFill="1"/>
    <xf numFmtId="0" fontId="6" fillId="0" borderId="0" xfId="0" applyFont="1" applyFill="1" applyAlignment="1">
      <alignment horizontal="center"/>
    </xf>
    <xf numFmtId="3" fontId="35" fillId="0" borderId="0" xfId="0" quotePrefix="1" applyNumberFormat="1" applyFont="1" applyFill="1"/>
    <xf numFmtId="38" fontId="6" fillId="0" borderId="0" xfId="0" quotePrefix="1" applyNumberFormat="1" applyFont="1" applyFill="1"/>
    <xf numFmtId="38" fontId="8" fillId="0" borderId="0" xfId="0" applyNumberFormat="1" applyFont="1" applyFill="1"/>
    <xf numFmtId="38" fontId="3" fillId="0" borderId="0" xfId="0" applyNumberFormat="1" applyFont="1" applyFill="1" applyAlignment="1">
      <alignment horizontal="center"/>
    </xf>
    <xf numFmtId="38" fontId="34" fillId="0" borderId="0" xfId="0" applyNumberFormat="1" applyFont="1" applyFill="1"/>
    <xf numFmtId="9" fontId="24" fillId="0" borderId="0" xfId="1" applyFont="1" applyFill="1"/>
    <xf numFmtId="38" fontId="8" fillId="0" borderId="0" xfId="0" quotePrefix="1" applyNumberFormat="1" applyFont="1" applyFill="1"/>
    <xf numFmtId="38" fontId="3" fillId="0" borderId="0" xfId="0" applyNumberFormat="1" applyFont="1" applyFill="1"/>
    <xf numFmtId="3" fontId="6" fillId="0" borderId="0" xfId="0" applyNumberFormat="1" applyFont="1" applyFill="1" applyAlignment="1">
      <alignment horizontal="center"/>
    </xf>
    <xf numFmtId="0" fontId="75" fillId="0" borderId="0" xfId="0" applyFont="1" applyFill="1" applyAlignment="1">
      <alignment horizontal="center" vertical="center"/>
    </xf>
    <xf numFmtId="166" fontId="75" fillId="0" borderId="0" xfId="0" applyNumberFormat="1"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vertical="center"/>
    </xf>
    <xf numFmtId="0" fontId="78" fillId="0" borderId="0" xfId="0" applyFont="1" applyFill="1"/>
    <xf numFmtId="3" fontId="34" fillId="0" borderId="0" xfId="0" applyNumberFormat="1" applyFont="1" applyFill="1" applyAlignment="1">
      <alignment horizontal="center" vertical="center"/>
    </xf>
    <xf numFmtId="3" fontId="77" fillId="0" borderId="0" xfId="0" applyNumberFormat="1" applyFont="1" applyFill="1" applyAlignment="1">
      <alignment vertical="center"/>
    </xf>
    <xf numFmtId="3" fontId="24" fillId="0" borderId="0" xfId="0" applyNumberFormat="1" applyFont="1" applyFill="1" applyAlignment="1">
      <alignment horizontal="center"/>
    </xf>
    <xf numFmtId="0" fontId="14" fillId="0" borderId="0" xfId="0" applyFont="1" applyFill="1"/>
    <xf numFmtId="0" fontId="10" fillId="0" borderId="0" xfId="0" applyFont="1" applyFill="1" applyAlignment="1">
      <alignment horizontal="center"/>
    </xf>
    <xf numFmtId="3" fontId="35" fillId="0" borderId="0" xfId="0" applyNumberFormat="1" applyFont="1" applyFill="1" applyAlignment="1">
      <alignment horizontal="center"/>
    </xf>
    <xf numFmtId="0" fontId="79" fillId="0" borderId="0" xfId="0" applyFont="1" applyFill="1" applyAlignment="1">
      <alignment horizontal="center"/>
    </xf>
    <xf numFmtId="168" fontId="35" fillId="0" borderId="1" xfId="0" applyNumberFormat="1" applyFont="1" applyFill="1" applyBorder="1" applyAlignment="1">
      <alignment horizontal="center"/>
    </xf>
    <xf numFmtId="168" fontId="35" fillId="0" borderId="0" xfId="0" applyNumberFormat="1" applyFont="1" applyFill="1" applyAlignment="1">
      <alignment horizontal="center"/>
    </xf>
    <xf numFmtId="0" fontId="15" fillId="0" borderId="0" xfId="0" applyFont="1" applyFill="1" applyAlignment="1">
      <alignment vertical="center"/>
    </xf>
    <xf numFmtId="0" fontId="80" fillId="0" borderId="0" xfId="0" applyFont="1" applyFill="1" applyAlignment="1">
      <alignment vertical="center"/>
    </xf>
    <xf numFmtId="0" fontId="33" fillId="0" borderId="0" xfId="0" applyFont="1" applyFill="1" applyAlignment="1">
      <alignment vertical="center"/>
    </xf>
    <xf numFmtId="3" fontId="33" fillId="0" borderId="0" xfId="0" applyNumberFormat="1" applyFont="1" applyFill="1" applyAlignment="1">
      <alignment horizontal="center" vertical="center"/>
    </xf>
    <xf numFmtId="165" fontId="33" fillId="0" borderId="0" xfId="0" applyNumberFormat="1" applyFont="1" applyFill="1" applyAlignment="1">
      <alignment horizontal="center" vertical="center"/>
    </xf>
    <xf numFmtId="3" fontId="81" fillId="0" borderId="0" xfId="0" applyNumberFormat="1" applyFont="1" applyFill="1"/>
    <xf numFmtId="3" fontId="79" fillId="0" borderId="0" xfId="0" applyNumberFormat="1" applyFont="1" applyFill="1" applyAlignment="1">
      <alignment horizontal="center"/>
    </xf>
    <xf numFmtId="10" fontId="81" fillId="0" borderId="0" xfId="1" applyNumberFormat="1" applyFont="1" applyFill="1" applyAlignment="1">
      <alignment horizontal="center"/>
    </xf>
    <xf numFmtId="0" fontId="79" fillId="0" borderId="0" xfId="0" applyFont="1" applyFill="1"/>
    <xf numFmtId="3" fontId="81" fillId="0" borderId="0" xfId="0" applyNumberFormat="1" applyFont="1" applyFill="1" applyAlignment="1">
      <alignment horizontal="center"/>
    </xf>
    <xf numFmtId="38" fontId="79" fillId="0" borderId="0" xfId="0" applyNumberFormat="1" applyFont="1" applyFill="1" applyAlignment="1">
      <alignment horizontal="center" vertical="center"/>
    </xf>
    <xf numFmtId="38" fontId="35" fillId="0" borderId="2" xfId="0" applyNumberFormat="1" applyFont="1" applyFill="1" applyBorder="1" applyAlignment="1">
      <alignment horizontal="center" vertical="center"/>
    </xf>
    <xf numFmtId="0" fontId="82" fillId="0" borderId="0" xfId="0" applyFont="1" applyFill="1"/>
    <xf numFmtId="9" fontId="81" fillId="0" borderId="0" xfId="1" applyFont="1" applyFill="1" applyAlignment="1">
      <alignment horizontal="center"/>
    </xf>
    <xf numFmtId="0" fontId="83" fillId="0" borderId="0" xfId="0" applyFont="1" applyFill="1" applyAlignment="1">
      <alignment horizontal="left" vertical="center"/>
    </xf>
    <xf numFmtId="3" fontId="41" fillId="0" borderId="0" xfId="0" applyNumberFormat="1" applyFont="1" applyFill="1" applyAlignment="1">
      <alignment horizontal="center" vertical="center"/>
    </xf>
    <xf numFmtId="165" fontId="41" fillId="0" borderId="0" xfId="0" applyNumberFormat="1" applyFont="1" applyFill="1" applyAlignment="1">
      <alignment horizontal="center" vertical="center"/>
    </xf>
    <xf numFmtId="3" fontId="41" fillId="0" borderId="0" xfId="0" applyNumberFormat="1" applyFont="1" applyFill="1" applyAlignment="1">
      <alignment vertical="center"/>
    </xf>
    <xf numFmtId="38" fontId="39" fillId="0" borderId="1" xfId="0" applyNumberFormat="1" applyFont="1" applyFill="1" applyBorder="1" applyAlignment="1">
      <alignment horizontal="center"/>
    </xf>
    <xf numFmtId="38" fontId="35" fillId="0" borderId="0" xfId="0" applyNumberFormat="1" applyFont="1" applyFill="1" applyAlignment="1">
      <alignment horizontal="center"/>
    </xf>
    <xf numFmtId="3" fontId="82" fillId="0" borderId="0" xfId="0" applyNumberFormat="1" applyFont="1" applyFill="1"/>
    <xf numFmtId="3" fontId="66" fillId="0" borderId="0" xfId="0" applyNumberFormat="1" applyFont="1" applyFill="1" applyAlignment="1">
      <alignment horizontal="center"/>
    </xf>
    <xf numFmtId="3" fontId="82" fillId="0" borderId="0" xfId="0" applyNumberFormat="1" applyFont="1" applyFill="1" applyAlignment="1">
      <alignment horizontal="center"/>
    </xf>
    <xf numFmtId="0" fontId="84" fillId="0" borderId="0" xfId="0" applyFont="1" applyFill="1"/>
    <xf numFmtId="10" fontId="38" fillId="0" borderId="0" xfId="1" applyNumberFormat="1" applyFont="1" applyFill="1" applyAlignment="1">
      <alignment horizontal="center"/>
    </xf>
    <xf numFmtId="38" fontId="79" fillId="0" borderId="0" xfId="0" applyNumberFormat="1" applyFont="1" applyFill="1" applyAlignment="1">
      <alignment horizontal="center"/>
    </xf>
    <xf numFmtId="38" fontId="35" fillId="0" borderId="0" xfId="0" quotePrefix="1" applyNumberFormat="1" applyFont="1" applyFill="1" applyAlignment="1">
      <alignment horizontal="center"/>
    </xf>
    <xf numFmtId="0" fontId="40" fillId="0" borderId="0" xfId="0" applyFont="1" applyFill="1" applyAlignment="1">
      <alignment vertical="center"/>
    </xf>
    <xf numFmtId="0" fontId="85" fillId="0" borderId="0" xfId="0" applyFont="1" applyFill="1"/>
    <xf numFmtId="0" fontId="86" fillId="0" borderId="0" xfId="0" applyFont="1" applyFill="1" applyAlignment="1">
      <alignment horizontal="center"/>
    </xf>
    <xf numFmtId="0" fontId="85" fillId="0" borderId="0" xfId="0" applyFont="1" applyFill="1" applyAlignment="1">
      <alignment horizontal="center"/>
    </xf>
    <xf numFmtId="168" fontId="35" fillId="0" borderId="0" xfId="0" quotePrefix="1" applyNumberFormat="1" applyFont="1" applyFill="1" applyAlignment="1">
      <alignment horizontal="center"/>
    </xf>
    <xf numFmtId="38" fontId="35" fillId="0" borderId="2" xfId="0" quotePrefix="1" applyNumberFormat="1" applyFont="1" applyFill="1" applyBorder="1" applyAlignment="1">
      <alignment horizontal="center"/>
    </xf>
    <xf numFmtId="38" fontId="10" fillId="0" borderId="0" xfId="0" applyNumberFormat="1" applyFont="1" applyFill="1" applyAlignment="1">
      <alignment horizontal="center"/>
    </xf>
    <xf numFmtId="38" fontId="8" fillId="0" borderId="0" xfId="0" applyNumberFormat="1" applyFont="1" applyFill="1" applyAlignment="1">
      <alignment horizontal="center"/>
    </xf>
    <xf numFmtId="38" fontId="81" fillId="0" borderId="1" xfId="0" applyNumberFormat="1" applyFont="1" applyFill="1" applyBorder="1" applyAlignment="1">
      <alignment horizontal="center"/>
    </xf>
    <xf numFmtId="38" fontId="79" fillId="0" borderId="0" xfId="0" quotePrefix="1" applyNumberFormat="1" applyFont="1" applyFill="1"/>
    <xf numFmtId="38" fontId="79" fillId="0" borderId="0" xfId="0" applyNumberFormat="1" applyFont="1" applyFill="1"/>
    <xf numFmtId="9" fontId="24" fillId="0" borderId="0" xfId="1" applyFont="1" applyFill="1" applyAlignment="1">
      <alignment horizontal="center"/>
    </xf>
    <xf numFmtId="3" fontId="79" fillId="0" borderId="0" xfId="0" applyNumberFormat="1" applyFont="1" applyFill="1"/>
    <xf numFmtId="3" fontId="79" fillId="0" borderId="2" xfId="0" applyNumberFormat="1" applyFont="1" applyFill="1" applyBorder="1" applyAlignment="1">
      <alignment horizontal="center"/>
    </xf>
    <xf numFmtId="4" fontId="35" fillId="0" borderId="0" xfId="0" quotePrefix="1" applyNumberFormat="1" applyFont="1" applyFill="1" applyAlignment="1">
      <alignment horizontal="center"/>
    </xf>
    <xf numFmtId="38" fontId="3" fillId="0" borderId="3" xfId="0" applyNumberFormat="1" applyFont="1" applyFill="1" applyBorder="1" applyAlignment="1">
      <alignment horizontal="center"/>
    </xf>
    <xf numFmtId="0" fontId="87" fillId="0" borderId="0" xfId="0" applyFont="1" applyFill="1"/>
    <xf numFmtId="0" fontId="80" fillId="0" borderId="0" xfId="0" applyFont="1" applyFill="1"/>
  </cellXfs>
  <cellStyles count="4">
    <cellStyle name="Comma" xfId="3" builtinId="3"/>
    <cellStyle name="Hyperlink" xfId="2" builtinId="8"/>
    <cellStyle name="Normal" xfId="0" builtinId="0"/>
    <cellStyle name="Percent" xfId="1" builtinId="5"/>
  </cellStyles>
  <dxfs count="0"/>
  <tableStyles count="0" defaultTableStyle="TableStyleMedium9" defaultPivotStyle="PivotStyleLight16"/>
  <colors>
    <mruColors>
      <color rgb="FFFF6699"/>
      <color rgb="FFFFCC99"/>
      <color rgb="FFFFFFCC"/>
      <color rgb="FFFFFF99"/>
      <color rgb="FFFFFF66"/>
      <color rgb="FF00CCFF"/>
      <color rgb="FF008000"/>
      <color rgb="FFCC6600"/>
      <color rgb="FFFF99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Four Cash Streams </a:t>
            </a:r>
            <a:r>
              <a:rPr lang="en-US" sz="1400" b="0"/>
              <a:t>before funding</a:t>
            </a:r>
            <a:endParaRPr lang="en-US" sz="1400"/>
          </a:p>
        </c:rich>
      </c:tx>
      <c:layout>
        <c:manualLayout>
          <c:xMode val="edge"/>
          <c:yMode val="edge"/>
          <c:x val="0.16142884796731005"/>
          <c:y val="6.1872100110708914E-2"/>
        </c:manualLayout>
      </c:layout>
      <c:overlay val="1"/>
    </c:title>
    <c:autoTitleDeleted val="0"/>
    <c:plotArea>
      <c:layout>
        <c:manualLayout>
          <c:layoutTarget val="inner"/>
          <c:xMode val="edge"/>
          <c:yMode val="edge"/>
          <c:x val="0.10637922962332411"/>
          <c:y val="4.813581242186217E-2"/>
          <c:w val="0.62545012466771432"/>
          <c:h val="0.86905293751652024"/>
        </c:manualLayout>
      </c:layout>
      <c:barChart>
        <c:barDir val="col"/>
        <c:grouping val="stacked"/>
        <c:varyColors val="0"/>
        <c:ser>
          <c:idx val="0"/>
          <c:order val="0"/>
          <c:tx>
            <c:strRef>
              <c:f>'business model (in Real terms)'!$A$184</c:f>
              <c:strCache>
                <c:ptCount val="1"/>
                <c:pt idx="0">
                  <c:v>Cashstream 2: Capital Costs</c:v>
                </c:pt>
              </c:strCache>
            </c:strRef>
          </c:tx>
          <c:spPr>
            <a:solidFill>
              <a:srgbClr val="00CCFF"/>
            </a:solidFill>
            <a:ln>
              <a:noFill/>
            </a:ln>
          </c:spPr>
          <c:invertIfNegative val="0"/>
          <c:cat>
            <c:numRef>
              <c:f>'business model (in Real terms)'!$D$60:$AY$60</c:f>
              <c:numCache>
                <c:formatCode>mmm\ yyyy</c:formatCode>
                <c:ptCount val="48"/>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pt idx="12">
                  <c:v>46485</c:v>
                </c:pt>
                <c:pt idx="13">
                  <c:v>46516</c:v>
                </c:pt>
                <c:pt idx="14">
                  <c:v>46547</c:v>
                </c:pt>
                <c:pt idx="15">
                  <c:v>46578</c:v>
                </c:pt>
                <c:pt idx="16">
                  <c:v>46609</c:v>
                </c:pt>
                <c:pt idx="17">
                  <c:v>46640</c:v>
                </c:pt>
                <c:pt idx="18">
                  <c:v>46671</c:v>
                </c:pt>
                <c:pt idx="19">
                  <c:v>46702</c:v>
                </c:pt>
                <c:pt idx="20">
                  <c:v>46733</c:v>
                </c:pt>
                <c:pt idx="21">
                  <c:v>46764</c:v>
                </c:pt>
                <c:pt idx="22">
                  <c:v>46795</c:v>
                </c:pt>
                <c:pt idx="23">
                  <c:v>46826</c:v>
                </c:pt>
                <c:pt idx="24">
                  <c:v>46857</c:v>
                </c:pt>
                <c:pt idx="25">
                  <c:v>46888</c:v>
                </c:pt>
                <c:pt idx="26">
                  <c:v>46919</c:v>
                </c:pt>
                <c:pt idx="27">
                  <c:v>46950</c:v>
                </c:pt>
                <c:pt idx="28">
                  <c:v>46981</c:v>
                </c:pt>
                <c:pt idx="29">
                  <c:v>47012</c:v>
                </c:pt>
                <c:pt idx="30">
                  <c:v>47043</c:v>
                </c:pt>
                <c:pt idx="31">
                  <c:v>47074</c:v>
                </c:pt>
                <c:pt idx="32">
                  <c:v>47105</c:v>
                </c:pt>
                <c:pt idx="33">
                  <c:v>47136</c:v>
                </c:pt>
                <c:pt idx="34">
                  <c:v>47167</c:v>
                </c:pt>
                <c:pt idx="35">
                  <c:v>47198</c:v>
                </c:pt>
                <c:pt idx="36">
                  <c:v>47229</c:v>
                </c:pt>
                <c:pt idx="37">
                  <c:v>47260</c:v>
                </c:pt>
                <c:pt idx="38">
                  <c:v>47291</c:v>
                </c:pt>
                <c:pt idx="39">
                  <c:v>47322</c:v>
                </c:pt>
                <c:pt idx="40">
                  <c:v>47353</c:v>
                </c:pt>
                <c:pt idx="41">
                  <c:v>47384</c:v>
                </c:pt>
                <c:pt idx="42">
                  <c:v>47415</c:v>
                </c:pt>
                <c:pt idx="43">
                  <c:v>47446</c:v>
                </c:pt>
                <c:pt idx="44">
                  <c:v>47477</c:v>
                </c:pt>
                <c:pt idx="45">
                  <c:v>47508</c:v>
                </c:pt>
                <c:pt idx="46">
                  <c:v>47539</c:v>
                </c:pt>
                <c:pt idx="47">
                  <c:v>47570</c:v>
                </c:pt>
              </c:numCache>
            </c:numRef>
          </c:cat>
          <c:val>
            <c:numRef>
              <c:f>'business model (in Real terms)'!$D$184:$AY$184</c:f>
              <c:numCache>
                <c:formatCode>#,##0</c:formatCode>
                <c:ptCount val="48"/>
                <c:pt idx="0">
                  <c:v>0</c:v>
                </c:pt>
                <c:pt idx="1">
                  <c:v>-10000</c:v>
                </c:pt>
                <c:pt idx="2">
                  <c:v>-18000</c:v>
                </c:pt>
                <c:pt idx="3">
                  <c:v>-26000</c:v>
                </c:pt>
                <c:pt idx="4">
                  <c:v>-12000</c:v>
                </c:pt>
                <c:pt idx="5">
                  <c:v>-18000</c:v>
                </c:pt>
                <c:pt idx="6">
                  <c:v>0</c:v>
                </c:pt>
                <c:pt idx="7">
                  <c:v>-1000</c:v>
                </c:pt>
                <c:pt idx="8">
                  <c:v>-1000</c:v>
                </c:pt>
                <c:pt idx="9">
                  <c:v>-1000</c:v>
                </c:pt>
                <c:pt idx="10">
                  <c:v>-1000</c:v>
                </c:pt>
                <c:pt idx="11">
                  <c:v>-1000</c:v>
                </c:pt>
                <c:pt idx="12">
                  <c:v>-1000</c:v>
                </c:pt>
                <c:pt idx="13">
                  <c:v>-1000</c:v>
                </c:pt>
                <c:pt idx="14">
                  <c:v>-1000</c:v>
                </c:pt>
                <c:pt idx="15">
                  <c:v>-1000</c:v>
                </c:pt>
                <c:pt idx="16">
                  <c:v>-1000</c:v>
                </c:pt>
                <c:pt idx="17">
                  <c:v>-1000</c:v>
                </c:pt>
                <c:pt idx="18">
                  <c:v>-1000</c:v>
                </c:pt>
                <c:pt idx="19">
                  <c:v>-1000</c:v>
                </c:pt>
                <c:pt idx="20">
                  <c:v>-1000</c:v>
                </c:pt>
                <c:pt idx="21">
                  <c:v>-1000</c:v>
                </c:pt>
                <c:pt idx="22">
                  <c:v>-1000</c:v>
                </c:pt>
                <c:pt idx="23">
                  <c:v>-1000</c:v>
                </c:pt>
                <c:pt idx="24">
                  <c:v>-1000</c:v>
                </c:pt>
                <c:pt idx="25">
                  <c:v>-1000</c:v>
                </c:pt>
                <c:pt idx="26">
                  <c:v>-1000</c:v>
                </c:pt>
                <c:pt idx="27">
                  <c:v>-1000</c:v>
                </c:pt>
                <c:pt idx="28">
                  <c:v>-1000</c:v>
                </c:pt>
                <c:pt idx="29">
                  <c:v>-1000</c:v>
                </c:pt>
                <c:pt idx="30">
                  <c:v>-1000</c:v>
                </c:pt>
                <c:pt idx="31">
                  <c:v>-1000</c:v>
                </c:pt>
                <c:pt idx="32">
                  <c:v>-1000</c:v>
                </c:pt>
                <c:pt idx="33">
                  <c:v>-1000</c:v>
                </c:pt>
                <c:pt idx="34">
                  <c:v>-1000</c:v>
                </c:pt>
                <c:pt idx="35">
                  <c:v>-1000</c:v>
                </c:pt>
                <c:pt idx="36">
                  <c:v>-1000</c:v>
                </c:pt>
                <c:pt idx="37">
                  <c:v>-1000</c:v>
                </c:pt>
                <c:pt idx="38">
                  <c:v>-1000</c:v>
                </c:pt>
                <c:pt idx="39">
                  <c:v>-1000</c:v>
                </c:pt>
                <c:pt idx="40">
                  <c:v>-1000</c:v>
                </c:pt>
                <c:pt idx="41">
                  <c:v>-1000</c:v>
                </c:pt>
                <c:pt idx="42">
                  <c:v>-1000</c:v>
                </c:pt>
                <c:pt idx="43">
                  <c:v>-1000</c:v>
                </c:pt>
                <c:pt idx="44">
                  <c:v>-1000</c:v>
                </c:pt>
                <c:pt idx="45">
                  <c:v>-1000</c:v>
                </c:pt>
                <c:pt idx="46">
                  <c:v>0</c:v>
                </c:pt>
                <c:pt idx="47">
                  <c:v>0</c:v>
                </c:pt>
              </c:numCache>
            </c:numRef>
          </c:val>
          <c:extLst>
            <c:ext xmlns:c16="http://schemas.microsoft.com/office/drawing/2014/chart" uri="{C3380CC4-5D6E-409C-BE32-E72D297353CC}">
              <c16:uniqueId val="{00000000-B2E7-4456-8A2F-F0ED508E4B79}"/>
            </c:ext>
          </c:extLst>
        </c:ser>
        <c:ser>
          <c:idx val="1"/>
          <c:order val="1"/>
          <c:tx>
            <c:strRef>
              <c:f>'business model (in Real terms)'!$A$185</c:f>
              <c:strCache>
                <c:ptCount val="1"/>
                <c:pt idx="0">
                  <c:v>Cashstream 3: Operating Costs</c:v>
                </c:pt>
              </c:strCache>
            </c:strRef>
          </c:tx>
          <c:spPr>
            <a:solidFill>
              <a:srgbClr val="FFFF00"/>
            </a:solidFill>
            <a:ln>
              <a:noFill/>
            </a:ln>
          </c:spPr>
          <c:invertIfNegative val="0"/>
          <c:cat>
            <c:numRef>
              <c:f>'business model (in Real terms)'!$D$60:$AY$60</c:f>
              <c:numCache>
                <c:formatCode>mmm\ yyyy</c:formatCode>
                <c:ptCount val="48"/>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pt idx="12">
                  <c:v>46485</c:v>
                </c:pt>
                <c:pt idx="13">
                  <c:v>46516</c:v>
                </c:pt>
                <c:pt idx="14">
                  <c:v>46547</c:v>
                </c:pt>
                <c:pt idx="15">
                  <c:v>46578</c:v>
                </c:pt>
                <c:pt idx="16">
                  <c:v>46609</c:v>
                </c:pt>
                <c:pt idx="17">
                  <c:v>46640</c:v>
                </c:pt>
                <c:pt idx="18">
                  <c:v>46671</c:v>
                </c:pt>
                <c:pt idx="19">
                  <c:v>46702</c:v>
                </c:pt>
                <c:pt idx="20">
                  <c:v>46733</c:v>
                </c:pt>
                <c:pt idx="21">
                  <c:v>46764</c:v>
                </c:pt>
                <c:pt idx="22">
                  <c:v>46795</c:v>
                </c:pt>
                <c:pt idx="23">
                  <c:v>46826</c:v>
                </c:pt>
                <c:pt idx="24">
                  <c:v>46857</c:v>
                </c:pt>
                <c:pt idx="25">
                  <c:v>46888</c:v>
                </c:pt>
                <c:pt idx="26">
                  <c:v>46919</c:v>
                </c:pt>
                <c:pt idx="27">
                  <c:v>46950</c:v>
                </c:pt>
                <c:pt idx="28">
                  <c:v>46981</c:v>
                </c:pt>
                <c:pt idx="29">
                  <c:v>47012</c:v>
                </c:pt>
                <c:pt idx="30">
                  <c:v>47043</c:v>
                </c:pt>
                <c:pt idx="31">
                  <c:v>47074</c:v>
                </c:pt>
                <c:pt idx="32">
                  <c:v>47105</c:v>
                </c:pt>
                <c:pt idx="33">
                  <c:v>47136</c:v>
                </c:pt>
                <c:pt idx="34">
                  <c:v>47167</c:v>
                </c:pt>
                <c:pt idx="35">
                  <c:v>47198</c:v>
                </c:pt>
                <c:pt idx="36">
                  <c:v>47229</c:v>
                </c:pt>
                <c:pt idx="37">
                  <c:v>47260</c:v>
                </c:pt>
                <c:pt idx="38">
                  <c:v>47291</c:v>
                </c:pt>
                <c:pt idx="39">
                  <c:v>47322</c:v>
                </c:pt>
                <c:pt idx="40">
                  <c:v>47353</c:v>
                </c:pt>
                <c:pt idx="41">
                  <c:v>47384</c:v>
                </c:pt>
                <c:pt idx="42">
                  <c:v>47415</c:v>
                </c:pt>
                <c:pt idx="43">
                  <c:v>47446</c:v>
                </c:pt>
                <c:pt idx="44">
                  <c:v>47477</c:v>
                </c:pt>
                <c:pt idx="45">
                  <c:v>47508</c:v>
                </c:pt>
                <c:pt idx="46">
                  <c:v>47539</c:v>
                </c:pt>
                <c:pt idx="47">
                  <c:v>47570</c:v>
                </c:pt>
              </c:numCache>
            </c:numRef>
          </c:cat>
          <c:val>
            <c:numRef>
              <c:f>'business model (in Real terms)'!$D$185:$AY$185</c:f>
              <c:numCache>
                <c:formatCode>#,##0</c:formatCode>
                <c:ptCount val="48"/>
                <c:pt idx="0">
                  <c:v>-1210</c:v>
                </c:pt>
                <c:pt idx="1">
                  <c:v>-1210</c:v>
                </c:pt>
                <c:pt idx="2">
                  <c:v>-1210</c:v>
                </c:pt>
                <c:pt idx="3">
                  <c:v>-1210</c:v>
                </c:pt>
                <c:pt idx="4">
                  <c:v>-1210</c:v>
                </c:pt>
                <c:pt idx="5">
                  <c:v>-6210</c:v>
                </c:pt>
                <c:pt idx="6">
                  <c:v>-5123</c:v>
                </c:pt>
                <c:pt idx="7">
                  <c:v>-5162.13</c:v>
                </c:pt>
                <c:pt idx="8">
                  <c:v>-5201.6512999999995</c:v>
                </c:pt>
                <c:pt idx="9">
                  <c:v>-5241.5678130000006</c:v>
                </c:pt>
                <c:pt idx="10">
                  <c:v>-5281.88349113</c:v>
                </c:pt>
                <c:pt idx="11">
                  <c:v>-5322.6023260413003</c:v>
                </c:pt>
                <c:pt idx="12">
                  <c:v>-5363.728349301713</c:v>
                </c:pt>
                <c:pt idx="13">
                  <c:v>-5405.2656327947298</c:v>
                </c:pt>
                <c:pt idx="14">
                  <c:v>-5447.2182891226776</c:v>
                </c:pt>
                <c:pt idx="15">
                  <c:v>-5489.5904720139042</c:v>
                </c:pt>
                <c:pt idx="16">
                  <c:v>-5532.3863767340426</c:v>
                </c:pt>
                <c:pt idx="17">
                  <c:v>-5575.6102405013835</c:v>
                </c:pt>
                <c:pt idx="18">
                  <c:v>-5619.2663429063969</c:v>
                </c:pt>
                <c:pt idx="19">
                  <c:v>-5663.3590063354613</c:v>
                </c:pt>
                <c:pt idx="20">
                  <c:v>-5707.8925963988158</c:v>
                </c:pt>
                <c:pt idx="21">
                  <c:v>-5752.8715223628051</c:v>
                </c:pt>
                <c:pt idx="22">
                  <c:v>-5798.3002375864326</c:v>
                </c:pt>
                <c:pt idx="23">
                  <c:v>-5844.1832399622972</c:v>
                </c:pt>
                <c:pt idx="24">
                  <c:v>-5890.5250723619201</c:v>
                </c:pt>
                <c:pt idx="25">
                  <c:v>-5937.3303230855399</c:v>
                </c:pt>
                <c:pt idx="26">
                  <c:v>-5984.6036263163951</c:v>
                </c:pt>
                <c:pt idx="27">
                  <c:v>-6032.3496625795597</c:v>
                </c:pt>
                <c:pt idx="28">
                  <c:v>-6080.5731592053544</c:v>
                </c:pt>
                <c:pt idx="29">
                  <c:v>-6129.2788907974082</c:v>
                </c:pt>
                <c:pt idx="30">
                  <c:v>-6178.4716797053825</c:v>
                </c:pt>
                <c:pt idx="31">
                  <c:v>-6228.1563965024361</c:v>
                </c:pt>
                <c:pt idx="32">
                  <c:v>-6278.3379604674601</c:v>
                </c:pt>
                <c:pt idx="33">
                  <c:v>-6329.021340072135</c:v>
                </c:pt>
                <c:pt idx="34">
                  <c:v>-6380.2115534728555</c:v>
                </c:pt>
                <c:pt idx="35">
                  <c:v>-6431.9136690075848</c:v>
                </c:pt>
                <c:pt idx="36">
                  <c:v>-6484.1328056976608</c:v>
                </c:pt>
                <c:pt idx="37">
                  <c:v>-6536.874133754638</c:v>
                </c:pt>
                <c:pt idx="38">
                  <c:v>-6590.142875092185</c:v>
                </c:pt>
                <c:pt idx="39">
                  <c:v>-6643.9443038431064</c:v>
                </c:pt>
                <c:pt idx="40">
                  <c:v>-6698.2837468815378</c:v>
                </c:pt>
                <c:pt idx="41">
                  <c:v>-6753.1665843503524</c:v>
                </c:pt>
                <c:pt idx="42">
                  <c:v>-6808.5982501938561</c:v>
                </c:pt>
                <c:pt idx="43">
                  <c:v>-6864.5842326957954</c:v>
                </c:pt>
                <c:pt idx="44">
                  <c:v>-6902.1562209529102</c:v>
                </c:pt>
                <c:pt idx="45">
                  <c:v>-6902.1562209529102</c:v>
                </c:pt>
                <c:pt idx="46">
                  <c:v>-6902.1562209529102</c:v>
                </c:pt>
                <c:pt idx="47">
                  <c:v>-4.7708139686073991</c:v>
                </c:pt>
              </c:numCache>
            </c:numRef>
          </c:val>
          <c:extLst>
            <c:ext xmlns:c16="http://schemas.microsoft.com/office/drawing/2014/chart" uri="{C3380CC4-5D6E-409C-BE32-E72D297353CC}">
              <c16:uniqueId val="{00000001-B2E7-4456-8A2F-F0ED508E4B79}"/>
            </c:ext>
          </c:extLst>
        </c:ser>
        <c:ser>
          <c:idx val="2"/>
          <c:order val="2"/>
          <c:tx>
            <c:strRef>
              <c:f>'business model (in Real terms)'!$A$186</c:f>
              <c:strCache>
                <c:ptCount val="1"/>
                <c:pt idx="0">
                  <c:v>Cashstream 4: Taxes</c:v>
                </c:pt>
              </c:strCache>
            </c:strRef>
          </c:tx>
          <c:spPr>
            <a:solidFill>
              <a:srgbClr val="FF6699"/>
            </a:solidFill>
            <a:ln>
              <a:noFill/>
            </a:ln>
          </c:spPr>
          <c:invertIfNegative val="0"/>
          <c:cat>
            <c:numRef>
              <c:f>'business model (in Real terms)'!$D$60:$AY$60</c:f>
              <c:numCache>
                <c:formatCode>mmm\ yyyy</c:formatCode>
                <c:ptCount val="48"/>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pt idx="12">
                  <c:v>46485</c:v>
                </c:pt>
                <c:pt idx="13">
                  <c:v>46516</c:v>
                </c:pt>
                <c:pt idx="14">
                  <c:v>46547</c:v>
                </c:pt>
                <c:pt idx="15">
                  <c:v>46578</c:v>
                </c:pt>
                <c:pt idx="16">
                  <c:v>46609</c:v>
                </c:pt>
                <c:pt idx="17">
                  <c:v>46640</c:v>
                </c:pt>
                <c:pt idx="18">
                  <c:v>46671</c:v>
                </c:pt>
                <c:pt idx="19">
                  <c:v>46702</c:v>
                </c:pt>
                <c:pt idx="20">
                  <c:v>46733</c:v>
                </c:pt>
                <c:pt idx="21">
                  <c:v>46764</c:v>
                </c:pt>
                <c:pt idx="22">
                  <c:v>46795</c:v>
                </c:pt>
                <c:pt idx="23">
                  <c:v>46826</c:v>
                </c:pt>
                <c:pt idx="24">
                  <c:v>46857</c:v>
                </c:pt>
                <c:pt idx="25">
                  <c:v>46888</c:v>
                </c:pt>
                <c:pt idx="26">
                  <c:v>46919</c:v>
                </c:pt>
                <c:pt idx="27">
                  <c:v>46950</c:v>
                </c:pt>
                <c:pt idx="28">
                  <c:v>46981</c:v>
                </c:pt>
                <c:pt idx="29">
                  <c:v>47012</c:v>
                </c:pt>
                <c:pt idx="30">
                  <c:v>47043</c:v>
                </c:pt>
                <c:pt idx="31">
                  <c:v>47074</c:v>
                </c:pt>
                <c:pt idx="32">
                  <c:v>47105</c:v>
                </c:pt>
                <c:pt idx="33">
                  <c:v>47136</c:v>
                </c:pt>
                <c:pt idx="34">
                  <c:v>47167</c:v>
                </c:pt>
                <c:pt idx="35">
                  <c:v>47198</c:v>
                </c:pt>
                <c:pt idx="36">
                  <c:v>47229</c:v>
                </c:pt>
                <c:pt idx="37">
                  <c:v>47260</c:v>
                </c:pt>
                <c:pt idx="38">
                  <c:v>47291</c:v>
                </c:pt>
                <c:pt idx="39">
                  <c:v>47322</c:v>
                </c:pt>
                <c:pt idx="40">
                  <c:v>47353</c:v>
                </c:pt>
                <c:pt idx="41">
                  <c:v>47384</c:v>
                </c:pt>
                <c:pt idx="42">
                  <c:v>47415</c:v>
                </c:pt>
                <c:pt idx="43">
                  <c:v>47446</c:v>
                </c:pt>
                <c:pt idx="44">
                  <c:v>47477</c:v>
                </c:pt>
                <c:pt idx="45">
                  <c:v>47508</c:v>
                </c:pt>
                <c:pt idx="46">
                  <c:v>47539</c:v>
                </c:pt>
                <c:pt idx="47">
                  <c:v>47570</c:v>
                </c:pt>
              </c:numCache>
            </c:numRef>
          </c:cat>
          <c:val>
            <c:numRef>
              <c:f>'business model (in Real terms)'!$D$186:$AY$186</c:f>
              <c:numCache>
                <c:formatCode>#,##0</c:formatCode>
                <c:ptCount val="48"/>
                <c:pt idx="0">
                  <c:v>110.00000000000004</c:v>
                </c:pt>
                <c:pt idx="1">
                  <c:v>1019.0909090909095</c:v>
                </c:pt>
                <c:pt idx="2">
                  <c:v>1746.3636363636369</c:v>
                </c:pt>
                <c:pt idx="3">
                  <c:v>2473.6363636363644</c:v>
                </c:pt>
                <c:pt idx="4">
                  <c:v>1200.9090909090912</c:v>
                </c:pt>
                <c:pt idx="5">
                  <c:v>1746.3636363636369</c:v>
                </c:pt>
                <c:pt idx="6">
                  <c:v>-1284.0682958598336</c:v>
                </c:pt>
                <c:pt idx="7">
                  <c:v>-2197.5066453514046</c:v>
                </c:pt>
                <c:pt idx="8">
                  <c:v>-2209.6021996527961</c:v>
                </c:pt>
                <c:pt idx="9">
                  <c:v>-2221.6089671389905</c:v>
                </c:pt>
                <c:pt idx="10">
                  <c:v>-2233.5276473686858</c:v>
                </c:pt>
                <c:pt idx="11">
                  <c:v>-2245.3589000528546</c:v>
                </c:pt>
                <c:pt idx="12">
                  <c:v>-2257.1033455640013</c:v>
                </c:pt>
                <c:pt idx="13">
                  <c:v>-2268.7615654312581</c:v>
                </c:pt>
                <c:pt idx="14">
                  <c:v>-2280.3341028215864</c:v>
                </c:pt>
                <c:pt idx="15">
                  <c:v>-2291.8214630073298</c:v>
                </c:pt>
                <c:pt idx="16">
                  <c:v>-2303.2241138203681</c:v>
                </c:pt>
                <c:pt idx="17">
                  <c:v>-2314.542486093113</c:v>
                </c:pt>
                <c:pt idx="18">
                  <c:v>-2325.7769740865774</c:v>
                </c:pt>
                <c:pt idx="19">
                  <c:v>-2336.9279359057587</c:v>
                </c:pt>
                <c:pt idx="20">
                  <c:v>-2347.9956939025433</c:v>
                </c:pt>
                <c:pt idx="21">
                  <c:v>-2358.9805350663719</c:v>
                </c:pt>
                <c:pt idx="22">
                  <c:v>-2369.8827114028659</c:v>
                </c:pt>
                <c:pt idx="23">
                  <c:v>-2380.7024403006335</c:v>
                </c:pt>
                <c:pt idx="24">
                  <c:v>-2391.4399048864561</c:v>
                </c:pt>
                <c:pt idx="25">
                  <c:v>-2402.0952543690537</c:v>
                </c:pt>
                <c:pt idx="26">
                  <c:v>-2412.6686043716372</c:v>
                </c:pt>
                <c:pt idx="27">
                  <c:v>-2423.1600372534194</c:v>
                </c:pt>
                <c:pt idx="28">
                  <c:v>-2433.5696024202916</c:v>
                </c:pt>
                <c:pt idx="29">
                  <c:v>-2443.8973166248325</c:v>
                </c:pt>
                <c:pt idx="30">
                  <c:v>-2454.1431642558432</c:v>
                </c:pt>
                <c:pt idx="31">
                  <c:v>-2464.3070976175595</c:v>
                </c:pt>
                <c:pt idx="32">
                  <c:v>-2474.3890371987454</c:v>
                </c:pt>
                <c:pt idx="33">
                  <c:v>-2484.3888719317974</c:v>
                </c:pt>
                <c:pt idx="34">
                  <c:v>-2494.3064594420512</c:v>
                </c:pt>
                <c:pt idx="35">
                  <c:v>-2504.1416262874282</c:v>
                </c:pt>
                <c:pt idx="36">
                  <c:v>-2513.8941681885958</c:v>
                </c:pt>
                <c:pt idx="37">
                  <c:v>-2523.5638502497727</c:v>
                </c:pt>
                <c:pt idx="38">
                  <c:v>-2533.1504071703339</c:v>
                </c:pt>
                <c:pt idx="39">
                  <c:v>-2542.6535434473776</c:v>
                </c:pt>
                <c:pt idx="40">
                  <c:v>-2552.0729335693586</c:v>
                </c:pt>
                <c:pt idx="41">
                  <c:v>-2561.4082222009565</c:v>
                </c:pt>
                <c:pt idx="42">
                  <c:v>-2570.6590243592937</c:v>
                </c:pt>
                <c:pt idx="43">
                  <c:v>-2579.8249255816418</c:v>
                </c:pt>
                <c:pt idx="44">
                  <c:v>-2594.9426174706041</c:v>
                </c:pt>
                <c:pt idx="45">
                  <c:v>-2596.4581752744853</c:v>
                </c:pt>
                <c:pt idx="46">
                  <c:v>-2671.3323104726041</c:v>
                </c:pt>
                <c:pt idx="47">
                  <c:v>-3281.5987428036465</c:v>
                </c:pt>
              </c:numCache>
            </c:numRef>
          </c:val>
          <c:extLst>
            <c:ext xmlns:c16="http://schemas.microsoft.com/office/drawing/2014/chart" uri="{C3380CC4-5D6E-409C-BE32-E72D297353CC}">
              <c16:uniqueId val="{00000002-B2E7-4456-8A2F-F0ED508E4B79}"/>
            </c:ext>
          </c:extLst>
        </c:ser>
        <c:ser>
          <c:idx val="3"/>
          <c:order val="3"/>
          <c:tx>
            <c:strRef>
              <c:f>'business model (in Real terms)'!$A$187</c:f>
              <c:strCache>
                <c:ptCount val="1"/>
                <c:pt idx="0">
                  <c:v>Cashflow if positive</c:v>
                </c:pt>
              </c:strCache>
            </c:strRef>
          </c:tx>
          <c:spPr>
            <a:solidFill>
              <a:srgbClr val="00CC00"/>
            </a:solidFill>
          </c:spPr>
          <c:invertIfNegative val="0"/>
          <c:cat>
            <c:numRef>
              <c:f>'business model (in Real terms)'!$D$60:$AY$60</c:f>
              <c:numCache>
                <c:formatCode>mmm\ yyyy</c:formatCode>
                <c:ptCount val="48"/>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pt idx="12">
                  <c:v>46485</c:v>
                </c:pt>
                <c:pt idx="13">
                  <c:v>46516</c:v>
                </c:pt>
                <c:pt idx="14">
                  <c:v>46547</c:v>
                </c:pt>
                <c:pt idx="15">
                  <c:v>46578</c:v>
                </c:pt>
                <c:pt idx="16">
                  <c:v>46609</c:v>
                </c:pt>
                <c:pt idx="17">
                  <c:v>46640</c:v>
                </c:pt>
                <c:pt idx="18">
                  <c:v>46671</c:v>
                </c:pt>
                <c:pt idx="19">
                  <c:v>46702</c:v>
                </c:pt>
                <c:pt idx="20">
                  <c:v>46733</c:v>
                </c:pt>
                <c:pt idx="21">
                  <c:v>46764</c:v>
                </c:pt>
                <c:pt idx="22">
                  <c:v>46795</c:v>
                </c:pt>
                <c:pt idx="23">
                  <c:v>46826</c:v>
                </c:pt>
                <c:pt idx="24">
                  <c:v>46857</c:v>
                </c:pt>
                <c:pt idx="25">
                  <c:v>46888</c:v>
                </c:pt>
                <c:pt idx="26">
                  <c:v>46919</c:v>
                </c:pt>
                <c:pt idx="27">
                  <c:v>46950</c:v>
                </c:pt>
                <c:pt idx="28">
                  <c:v>46981</c:v>
                </c:pt>
                <c:pt idx="29">
                  <c:v>47012</c:v>
                </c:pt>
                <c:pt idx="30">
                  <c:v>47043</c:v>
                </c:pt>
                <c:pt idx="31">
                  <c:v>47074</c:v>
                </c:pt>
                <c:pt idx="32">
                  <c:v>47105</c:v>
                </c:pt>
                <c:pt idx="33">
                  <c:v>47136</c:v>
                </c:pt>
                <c:pt idx="34">
                  <c:v>47167</c:v>
                </c:pt>
                <c:pt idx="35">
                  <c:v>47198</c:v>
                </c:pt>
                <c:pt idx="36">
                  <c:v>47229</c:v>
                </c:pt>
                <c:pt idx="37">
                  <c:v>47260</c:v>
                </c:pt>
                <c:pt idx="38">
                  <c:v>47291</c:v>
                </c:pt>
                <c:pt idx="39">
                  <c:v>47322</c:v>
                </c:pt>
                <c:pt idx="40">
                  <c:v>47353</c:v>
                </c:pt>
                <c:pt idx="41">
                  <c:v>47384</c:v>
                </c:pt>
                <c:pt idx="42">
                  <c:v>47415</c:v>
                </c:pt>
                <c:pt idx="43">
                  <c:v>47446</c:v>
                </c:pt>
                <c:pt idx="44">
                  <c:v>47477</c:v>
                </c:pt>
                <c:pt idx="45">
                  <c:v>47508</c:v>
                </c:pt>
                <c:pt idx="46">
                  <c:v>47539</c:v>
                </c:pt>
                <c:pt idx="47">
                  <c:v>47570</c:v>
                </c:pt>
              </c:numCache>
            </c:numRef>
          </c:cat>
          <c:val>
            <c:numRef>
              <c:f>'business model (in Real terms)'!$D$187:$AY$187</c:f>
              <c:numCache>
                <c:formatCode>#,##0</c:formatCode>
                <c:ptCount val="48"/>
                <c:pt idx="0">
                  <c:v>0</c:v>
                </c:pt>
                <c:pt idx="1">
                  <c:v>0</c:v>
                </c:pt>
                <c:pt idx="2">
                  <c:v>0</c:v>
                </c:pt>
                <c:pt idx="3">
                  <c:v>0</c:v>
                </c:pt>
                <c:pt idx="4">
                  <c:v>0</c:v>
                </c:pt>
                <c:pt idx="5">
                  <c:v>0</c:v>
                </c:pt>
                <c:pt idx="6">
                  <c:v>7092.9317041401664</c:v>
                </c:pt>
                <c:pt idx="7">
                  <c:v>5207.1883546485942</c:v>
                </c:pt>
                <c:pt idx="8">
                  <c:v>5222.7272840972037</c:v>
                </c:pt>
                <c:pt idx="9">
                  <c:v>5238.2922084905713</c:v>
                </c:pt>
                <c:pt idx="10">
                  <c:v>5253.880121624592</c:v>
                </c:pt>
                <c:pt idx="11">
                  <c:v>5269.4880257667346</c:v>
                </c:pt>
                <c:pt idx="12">
                  <c:v>5285.1129307918873</c:v>
                </c:pt>
                <c:pt idx="13">
                  <c:v>5300.7518533286184</c:v>
                </c:pt>
                <c:pt idx="14">
                  <c:v>5316.4018159155385</c:v>
                </c:pt>
                <c:pt idx="15">
                  <c:v>5332.0598461674736</c:v>
                </c:pt>
                <c:pt idx="16">
                  <c:v>5347.7229759511793</c:v>
                </c:pt>
                <c:pt idx="17">
                  <c:v>5363.3882405702971</c:v>
                </c:pt>
                <c:pt idx="18">
                  <c:v>5379.0526779592819</c:v>
                </c:pt>
                <c:pt idx="19">
                  <c:v>5394.713327886051</c:v>
                </c:pt>
                <c:pt idx="20">
                  <c:v>5410.3672311630426</c:v>
                </c:pt>
                <c:pt idx="21">
                  <c:v>5426.0114288664745</c:v>
                </c:pt>
                <c:pt idx="22">
                  <c:v>5441.6429615635152</c:v>
                </c:pt>
                <c:pt idx="23">
                  <c:v>5457.2588685471201</c:v>
                </c:pt>
                <c:pt idx="24">
                  <c:v>5472.856187078286</c:v>
                </c:pt>
                <c:pt idx="25">
                  <c:v>5488.4319516354872</c:v>
                </c:pt>
                <c:pt idx="26">
                  <c:v>5503.9831931710441</c:v>
                </c:pt>
                <c:pt idx="27">
                  <c:v>5519.5069383742011</c:v>
                </c:pt>
                <c:pt idx="28">
                  <c:v>5535.0002089406589</c:v>
                </c:pt>
                <c:pt idx="29">
                  <c:v>5550.4600208483662</c:v>
                </c:pt>
                <c:pt idx="30">
                  <c:v>5565.8833836393205</c:v>
                </c:pt>
                <c:pt idx="31">
                  <c:v>5581.2672997071741</c:v>
                </c:pt>
                <c:pt idx="32">
                  <c:v>5596.6087635904087</c:v>
                </c:pt>
                <c:pt idx="33">
                  <c:v>5611.9047612709028</c:v>
                </c:pt>
                <c:pt idx="34">
                  <c:v>5627.1522694776377</c:v>
                </c:pt>
                <c:pt idx="35">
                  <c:v>5642.3482549953733</c:v>
                </c:pt>
                <c:pt idx="36">
                  <c:v>5657.4896739780652</c:v>
                </c:pt>
                <c:pt idx="37">
                  <c:v>5672.5734712668436</c:v>
                </c:pt>
                <c:pt idx="38">
                  <c:v>5687.596579712329</c:v>
                </c:pt>
                <c:pt idx="39">
                  <c:v>5702.5559195011374</c:v>
                </c:pt>
                <c:pt idx="40">
                  <c:v>5717.4483974863442</c:v>
                </c:pt>
                <c:pt idx="41">
                  <c:v>5732.2709065217205</c:v>
                </c:pt>
                <c:pt idx="42">
                  <c:v>5747.0203247995933</c:v>
                </c:pt>
                <c:pt idx="43">
                  <c:v>5761.6935151921016</c:v>
                </c:pt>
                <c:pt idx="44">
                  <c:v>5789.2240432796989</c:v>
                </c:pt>
                <c:pt idx="45">
                  <c:v>5787.7084854758177</c:v>
                </c:pt>
                <c:pt idx="46">
                  <c:v>6712.8343502776988</c:v>
                </c:pt>
                <c:pt idx="47">
                  <c:v>12999.953324930959</c:v>
                </c:pt>
              </c:numCache>
            </c:numRef>
          </c:val>
          <c:extLst>
            <c:ext xmlns:c16="http://schemas.microsoft.com/office/drawing/2014/chart" uri="{C3380CC4-5D6E-409C-BE32-E72D297353CC}">
              <c16:uniqueId val="{00000003-B2E7-4456-8A2F-F0ED508E4B79}"/>
            </c:ext>
          </c:extLst>
        </c:ser>
        <c:ser>
          <c:idx val="4"/>
          <c:order val="4"/>
          <c:tx>
            <c:strRef>
              <c:f>'business model (in Real terms)'!$A$188</c:f>
              <c:strCache>
                <c:ptCount val="1"/>
                <c:pt idx="0">
                  <c:v>Cashflow Deficit</c:v>
                </c:pt>
              </c:strCache>
            </c:strRef>
          </c:tx>
          <c:spPr>
            <a:noFill/>
            <a:ln w="28575">
              <a:solidFill>
                <a:srgbClr val="FF0000"/>
              </a:solidFill>
              <a:prstDash val="sysDot"/>
            </a:ln>
          </c:spPr>
          <c:invertIfNegative val="0"/>
          <c:cat>
            <c:numRef>
              <c:f>'business model (in Real terms)'!$D$60:$AY$60</c:f>
              <c:numCache>
                <c:formatCode>mmm\ yyyy</c:formatCode>
                <c:ptCount val="48"/>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pt idx="12">
                  <c:v>46485</c:v>
                </c:pt>
                <c:pt idx="13">
                  <c:v>46516</c:v>
                </c:pt>
                <c:pt idx="14">
                  <c:v>46547</c:v>
                </c:pt>
                <c:pt idx="15">
                  <c:v>46578</c:v>
                </c:pt>
                <c:pt idx="16">
                  <c:v>46609</c:v>
                </c:pt>
                <c:pt idx="17">
                  <c:v>46640</c:v>
                </c:pt>
                <c:pt idx="18">
                  <c:v>46671</c:v>
                </c:pt>
                <c:pt idx="19">
                  <c:v>46702</c:v>
                </c:pt>
                <c:pt idx="20">
                  <c:v>46733</c:v>
                </c:pt>
                <c:pt idx="21">
                  <c:v>46764</c:v>
                </c:pt>
                <c:pt idx="22">
                  <c:v>46795</c:v>
                </c:pt>
                <c:pt idx="23">
                  <c:v>46826</c:v>
                </c:pt>
                <c:pt idx="24">
                  <c:v>46857</c:v>
                </c:pt>
                <c:pt idx="25">
                  <c:v>46888</c:v>
                </c:pt>
                <c:pt idx="26">
                  <c:v>46919</c:v>
                </c:pt>
                <c:pt idx="27">
                  <c:v>46950</c:v>
                </c:pt>
                <c:pt idx="28">
                  <c:v>46981</c:v>
                </c:pt>
                <c:pt idx="29">
                  <c:v>47012</c:v>
                </c:pt>
                <c:pt idx="30">
                  <c:v>47043</c:v>
                </c:pt>
                <c:pt idx="31">
                  <c:v>47074</c:v>
                </c:pt>
                <c:pt idx="32">
                  <c:v>47105</c:v>
                </c:pt>
                <c:pt idx="33">
                  <c:v>47136</c:v>
                </c:pt>
                <c:pt idx="34">
                  <c:v>47167</c:v>
                </c:pt>
                <c:pt idx="35">
                  <c:v>47198</c:v>
                </c:pt>
                <c:pt idx="36">
                  <c:v>47229</c:v>
                </c:pt>
                <c:pt idx="37">
                  <c:v>47260</c:v>
                </c:pt>
                <c:pt idx="38">
                  <c:v>47291</c:v>
                </c:pt>
                <c:pt idx="39">
                  <c:v>47322</c:v>
                </c:pt>
                <c:pt idx="40">
                  <c:v>47353</c:v>
                </c:pt>
                <c:pt idx="41">
                  <c:v>47384</c:v>
                </c:pt>
                <c:pt idx="42">
                  <c:v>47415</c:v>
                </c:pt>
                <c:pt idx="43">
                  <c:v>47446</c:v>
                </c:pt>
                <c:pt idx="44">
                  <c:v>47477</c:v>
                </c:pt>
                <c:pt idx="45">
                  <c:v>47508</c:v>
                </c:pt>
                <c:pt idx="46">
                  <c:v>47539</c:v>
                </c:pt>
                <c:pt idx="47">
                  <c:v>47570</c:v>
                </c:pt>
              </c:numCache>
            </c:numRef>
          </c:cat>
          <c:val>
            <c:numRef>
              <c:f>'business model (in Real terms)'!$D$188:$AY$188</c:f>
              <c:numCache>
                <c:formatCode>#,##0</c:formatCode>
                <c:ptCount val="48"/>
                <c:pt idx="0">
                  <c:v>1100</c:v>
                </c:pt>
                <c:pt idx="1">
                  <c:v>10190.90909090909</c:v>
                </c:pt>
                <c:pt idx="2">
                  <c:v>17463.636363636364</c:v>
                </c:pt>
                <c:pt idx="3">
                  <c:v>24736.363636363636</c:v>
                </c:pt>
                <c:pt idx="4">
                  <c:v>12009.090909090908</c:v>
                </c:pt>
                <c:pt idx="5">
                  <c:v>22463.636363636364</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4-B2E7-4456-8A2F-F0ED508E4B79}"/>
            </c:ext>
          </c:extLst>
        </c:ser>
        <c:dLbls>
          <c:showLegendKey val="0"/>
          <c:showVal val="0"/>
          <c:showCatName val="0"/>
          <c:showSerName val="0"/>
          <c:showPercent val="0"/>
          <c:showBubbleSize val="0"/>
        </c:dLbls>
        <c:gapWidth val="0"/>
        <c:overlap val="100"/>
        <c:axId val="275025648"/>
        <c:axId val="275026432"/>
      </c:barChart>
      <c:dateAx>
        <c:axId val="275025648"/>
        <c:scaling>
          <c:orientation val="minMax"/>
        </c:scaling>
        <c:delete val="0"/>
        <c:axPos val="b"/>
        <c:numFmt formatCode="mmm\ yyyy" sourceLinked="1"/>
        <c:majorTickMark val="out"/>
        <c:minorTickMark val="none"/>
        <c:tickLblPos val="nextTo"/>
        <c:txPr>
          <a:bodyPr/>
          <a:lstStyle/>
          <a:p>
            <a:pPr>
              <a:defRPr sz="900"/>
            </a:pPr>
            <a:endParaRPr lang="en-US"/>
          </a:p>
        </c:txPr>
        <c:crossAx val="275026432"/>
        <c:crosses val="autoZero"/>
        <c:auto val="0"/>
        <c:lblOffset val="100"/>
        <c:baseTimeUnit val="months"/>
      </c:dateAx>
      <c:valAx>
        <c:axId val="275026432"/>
        <c:scaling>
          <c:orientation val="minMax"/>
        </c:scaling>
        <c:delete val="0"/>
        <c:axPos val="l"/>
        <c:majorGridlines/>
        <c:title>
          <c:tx>
            <c:rich>
              <a:bodyPr rot="-5400000" vert="horz"/>
              <a:lstStyle/>
              <a:p>
                <a:pPr>
                  <a:defRPr sz="1200" b="1"/>
                </a:pPr>
                <a:r>
                  <a:rPr lang="en-US" sz="1200" b="1"/>
                  <a:t>$</a:t>
                </a:r>
              </a:p>
            </c:rich>
          </c:tx>
          <c:layout>
            <c:manualLayout>
              <c:xMode val="edge"/>
              <c:yMode val="edge"/>
              <c:x val="3.7682433411931242E-3"/>
              <c:y val="0.46739062830416339"/>
            </c:manualLayout>
          </c:layout>
          <c:overlay val="0"/>
        </c:title>
        <c:numFmt formatCode="#,##0" sourceLinked="0"/>
        <c:majorTickMark val="out"/>
        <c:minorTickMark val="none"/>
        <c:tickLblPos val="nextTo"/>
        <c:txPr>
          <a:bodyPr/>
          <a:lstStyle/>
          <a:p>
            <a:pPr>
              <a:defRPr sz="1000" b="0" baseline="0"/>
            </a:pPr>
            <a:endParaRPr lang="en-US"/>
          </a:p>
        </c:txPr>
        <c:crossAx val="275025648"/>
        <c:crosses val="autoZero"/>
        <c:crossBetween val="between"/>
      </c:valAx>
    </c:plotArea>
    <c:legend>
      <c:legendPos val="r"/>
      <c:layout>
        <c:manualLayout>
          <c:xMode val="edge"/>
          <c:yMode val="edge"/>
          <c:x val="0.73210007656012754"/>
          <c:y val="9.9640377465132129E-2"/>
          <c:w val="0.25618825705959658"/>
          <c:h val="0.74442049423625012"/>
        </c:manualLayout>
      </c:layout>
      <c:overlay val="0"/>
      <c:spPr>
        <a:solidFill>
          <a:schemeClr val="bg1"/>
        </a:solidFill>
      </c:spPr>
      <c:txPr>
        <a:bodyPr/>
        <a:lstStyle/>
        <a:p>
          <a:pPr>
            <a:defRPr sz="1000" b="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Sales Volumes </a:t>
            </a:r>
            <a:r>
              <a:rPr lang="en-US" sz="1400" b="0"/>
              <a:t>(kgs)   </a:t>
            </a:r>
            <a:r>
              <a:rPr lang="en-US" sz="1400"/>
              <a:t>&amp; Price  </a:t>
            </a:r>
            <a:r>
              <a:rPr lang="en-US" sz="1400" b="0"/>
              <a:t>($/kg)</a:t>
            </a:r>
          </a:p>
        </c:rich>
      </c:tx>
      <c:layout>
        <c:manualLayout>
          <c:xMode val="edge"/>
          <c:yMode val="edge"/>
          <c:x val="0.23117409236888867"/>
          <c:y val="9.2647561267031244E-3"/>
        </c:manualLayout>
      </c:layout>
      <c:overlay val="1"/>
    </c:title>
    <c:autoTitleDeleted val="0"/>
    <c:plotArea>
      <c:layout>
        <c:manualLayout>
          <c:layoutTarget val="inner"/>
          <c:xMode val="edge"/>
          <c:yMode val="edge"/>
          <c:x val="0.13635881353130938"/>
          <c:y val="0.17426926377101595"/>
          <c:w val="0.54518164848959094"/>
          <c:h val="0.60716146373351187"/>
        </c:manualLayout>
      </c:layout>
      <c:barChart>
        <c:barDir val="col"/>
        <c:grouping val="clustered"/>
        <c:varyColors val="0"/>
        <c:ser>
          <c:idx val="2"/>
          <c:order val="0"/>
          <c:tx>
            <c:strRef>
              <c:f>'business model (in Real terms)'!$A$67</c:f>
              <c:strCache>
                <c:ptCount val="1"/>
                <c:pt idx="0">
                  <c:v>sales of organic fertiliser</c:v>
                </c:pt>
              </c:strCache>
            </c:strRef>
          </c:tx>
          <c:spPr>
            <a:solidFill>
              <a:schemeClr val="accent6">
                <a:lumMod val="60000"/>
                <a:lumOff val="40000"/>
              </a:schemeClr>
            </a:solidFill>
          </c:spPr>
          <c:invertIfNegative val="0"/>
          <c:cat>
            <c:numRef>
              <c:f>'business model (in Real terms)'!$D$60:$AY$60</c:f>
              <c:numCache>
                <c:formatCode>mmm\ yyyy</c:formatCode>
                <c:ptCount val="48"/>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pt idx="12">
                  <c:v>46485</c:v>
                </c:pt>
                <c:pt idx="13">
                  <c:v>46516</c:v>
                </c:pt>
                <c:pt idx="14">
                  <c:v>46547</c:v>
                </c:pt>
                <c:pt idx="15">
                  <c:v>46578</c:v>
                </c:pt>
                <c:pt idx="16">
                  <c:v>46609</c:v>
                </c:pt>
                <c:pt idx="17">
                  <c:v>46640</c:v>
                </c:pt>
                <c:pt idx="18">
                  <c:v>46671</c:v>
                </c:pt>
                <c:pt idx="19">
                  <c:v>46702</c:v>
                </c:pt>
                <c:pt idx="20">
                  <c:v>46733</c:v>
                </c:pt>
                <c:pt idx="21">
                  <c:v>46764</c:v>
                </c:pt>
                <c:pt idx="22">
                  <c:v>46795</c:v>
                </c:pt>
                <c:pt idx="23">
                  <c:v>46826</c:v>
                </c:pt>
                <c:pt idx="24">
                  <c:v>46857</c:v>
                </c:pt>
                <c:pt idx="25">
                  <c:v>46888</c:v>
                </c:pt>
                <c:pt idx="26">
                  <c:v>46919</c:v>
                </c:pt>
                <c:pt idx="27">
                  <c:v>46950</c:v>
                </c:pt>
                <c:pt idx="28">
                  <c:v>46981</c:v>
                </c:pt>
                <c:pt idx="29">
                  <c:v>47012</c:v>
                </c:pt>
                <c:pt idx="30">
                  <c:v>47043</c:v>
                </c:pt>
                <c:pt idx="31">
                  <c:v>47074</c:v>
                </c:pt>
                <c:pt idx="32">
                  <c:v>47105</c:v>
                </c:pt>
                <c:pt idx="33">
                  <c:v>47136</c:v>
                </c:pt>
                <c:pt idx="34">
                  <c:v>47167</c:v>
                </c:pt>
                <c:pt idx="35">
                  <c:v>47198</c:v>
                </c:pt>
                <c:pt idx="36">
                  <c:v>47229</c:v>
                </c:pt>
                <c:pt idx="37">
                  <c:v>47260</c:v>
                </c:pt>
                <c:pt idx="38">
                  <c:v>47291</c:v>
                </c:pt>
                <c:pt idx="39">
                  <c:v>47322</c:v>
                </c:pt>
                <c:pt idx="40">
                  <c:v>47353</c:v>
                </c:pt>
                <c:pt idx="41">
                  <c:v>47384</c:v>
                </c:pt>
                <c:pt idx="42">
                  <c:v>47415</c:v>
                </c:pt>
                <c:pt idx="43">
                  <c:v>47446</c:v>
                </c:pt>
                <c:pt idx="44">
                  <c:v>47477</c:v>
                </c:pt>
                <c:pt idx="45">
                  <c:v>47508</c:v>
                </c:pt>
                <c:pt idx="46">
                  <c:v>47539</c:v>
                </c:pt>
                <c:pt idx="47">
                  <c:v>47570</c:v>
                </c:pt>
              </c:numCache>
            </c:numRef>
          </c:cat>
          <c:val>
            <c:numRef>
              <c:f>'business model (in Real terms)'!$D$67:$AY$67</c:f>
              <c:numCache>
                <c:formatCode>#,##0</c:formatCode>
                <c:ptCount val="48"/>
                <c:pt idx="6">
                  <c:v>30000</c:v>
                </c:pt>
                <c:pt idx="7">
                  <c:v>30300</c:v>
                </c:pt>
                <c:pt idx="8">
                  <c:v>30603</c:v>
                </c:pt>
                <c:pt idx="9">
                  <c:v>30909.03</c:v>
                </c:pt>
                <c:pt idx="10">
                  <c:v>31218.120299999999</c:v>
                </c:pt>
                <c:pt idx="11">
                  <c:v>31530.301502999999</c:v>
                </c:pt>
                <c:pt idx="12">
                  <c:v>31845.604518029999</c:v>
                </c:pt>
                <c:pt idx="13">
                  <c:v>32164.0605632103</c:v>
                </c:pt>
                <c:pt idx="14">
                  <c:v>32485.701168842403</c:v>
                </c:pt>
                <c:pt idx="15">
                  <c:v>32810.558180530825</c:v>
                </c:pt>
                <c:pt idx="16">
                  <c:v>33138.663762336131</c:v>
                </c:pt>
                <c:pt idx="17">
                  <c:v>33470.050399959495</c:v>
                </c:pt>
                <c:pt idx="18">
                  <c:v>33804.750903959088</c:v>
                </c:pt>
                <c:pt idx="19">
                  <c:v>34142.79841299868</c:v>
                </c:pt>
                <c:pt idx="20">
                  <c:v>34484.226397128667</c:v>
                </c:pt>
                <c:pt idx="21">
                  <c:v>34829.068661099955</c:v>
                </c:pt>
                <c:pt idx="22">
                  <c:v>35177.359347710953</c:v>
                </c:pt>
                <c:pt idx="23">
                  <c:v>35529.132941188065</c:v>
                </c:pt>
                <c:pt idx="24">
                  <c:v>35884.42427059995</c:v>
                </c:pt>
                <c:pt idx="25">
                  <c:v>36243.268513305949</c:v>
                </c:pt>
                <c:pt idx="26">
                  <c:v>36605.701198439012</c:v>
                </c:pt>
                <c:pt idx="27">
                  <c:v>36971.758210423402</c:v>
                </c:pt>
                <c:pt idx="28">
                  <c:v>37341.475792527635</c:v>
                </c:pt>
                <c:pt idx="29">
                  <c:v>37714.89055045291</c:v>
                </c:pt>
                <c:pt idx="30">
                  <c:v>38092.039455957442</c:v>
                </c:pt>
                <c:pt idx="31">
                  <c:v>38472.959850517014</c:v>
                </c:pt>
                <c:pt idx="32">
                  <c:v>38857.689449022182</c:v>
                </c:pt>
                <c:pt idx="33">
                  <c:v>39246.266343512405</c:v>
                </c:pt>
                <c:pt idx="34">
                  <c:v>39638.729006947528</c:v>
                </c:pt>
                <c:pt idx="35">
                  <c:v>40035.116297017004</c:v>
                </c:pt>
                <c:pt idx="36">
                  <c:v>40435.467459987172</c:v>
                </c:pt>
                <c:pt idx="37">
                  <c:v>40839.822134587048</c:v>
                </c:pt>
                <c:pt idx="38">
                  <c:v>41248.220355932921</c:v>
                </c:pt>
                <c:pt idx="39">
                  <c:v>41660.702559492252</c:v>
                </c:pt>
                <c:pt idx="40">
                  <c:v>42077.309585087176</c:v>
                </c:pt>
                <c:pt idx="41">
                  <c:v>42498.082680938045</c:v>
                </c:pt>
                <c:pt idx="42">
                  <c:v>42923.063507747429</c:v>
                </c:pt>
                <c:pt idx="43">
                  <c:v>43352.294142824903</c:v>
                </c:pt>
                <c:pt idx="44">
                  <c:v>43785.817084253154</c:v>
                </c:pt>
                <c:pt idx="45">
                  <c:v>43785.817084253154</c:v>
                </c:pt>
                <c:pt idx="46">
                  <c:v>43785.817084253154</c:v>
                </c:pt>
                <c:pt idx="47">
                  <c:v>43785.817084253154</c:v>
                </c:pt>
              </c:numCache>
            </c:numRef>
          </c:val>
          <c:extLst>
            <c:ext xmlns:c16="http://schemas.microsoft.com/office/drawing/2014/chart" uri="{C3380CC4-5D6E-409C-BE32-E72D297353CC}">
              <c16:uniqueId val="{00000001-A789-478E-AA46-F0BBF8E22E7D}"/>
            </c:ext>
          </c:extLst>
        </c:ser>
        <c:dLbls>
          <c:showLegendKey val="0"/>
          <c:showVal val="0"/>
          <c:showCatName val="0"/>
          <c:showSerName val="0"/>
          <c:showPercent val="0"/>
          <c:showBubbleSize val="0"/>
        </c:dLbls>
        <c:gapWidth val="10"/>
        <c:axId val="275019768"/>
        <c:axId val="275020160"/>
      </c:barChart>
      <c:lineChart>
        <c:grouping val="standard"/>
        <c:varyColors val="0"/>
        <c:ser>
          <c:idx val="0"/>
          <c:order val="1"/>
          <c:tx>
            <c:strRef>
              <c:f>'business model (in Real terms)'!$A$68</c:f>
              <c:strCache>
                <c:ptCount val="1"/>
                <c:pt idx="0">
                  <c:v>price of organic fertiliser - including 10% VAT</c:v>
                </c:pt>
              </c:strCache>
            </c:strRef>
          </c:tx>
          <c:spPr>
            <a:ln w="28575">
              <a:solidFill>
                <a:schemeClr val="accent6">
                  <a:lumMod val="75000"/>
                </a:schemeClr>
              </a:solidFill>
              <a:prstDash val="sysDash"/>
            </a:ln>
          </c:spPr>
          <c:marker>
            <c:symbol val="none"/>
          </c:marker>
          <c:cat>
            <c:numRef>
              <c:f>'business model (in Real terms)'!$D$60:$AY$60</c:f>
              <c:numCache>
                <c:formatCode>mmm\ yyyy</c:formatCode>
                <c:ptCount val="48"/>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pt idx="12">
                  <c:v>46485</c:v>
                </c:pt>
                <c:pt idx="13">
                  <c:v>46516</c:v>
                </c:pt>
                <c:pt idx="14">
                  <c:v>46547</c:v>
                </c:pt>
                <c:pt idx="15">
                  <c:v>46578</c:v>
                </c:pt>
                <c:pt idx="16">
                  <c:v>46609</c:v>
                </c:pt>
                <c:pt idx="17">
                  <c:v>46640</c:v>
                </c:pt>
                <c:pt idx="18">
                  <c:v>46671</c:v>
                </c:pt>
                <c:pt idx="19">
                  <c:v>46702</c:v>
                </c:pt>
                <c:pt idx="20">
                  <c:v>46733</c:v>
                </c:pt>
                <c:pt idx="21">
                  <c:v>46764</c:v>
                </c:pt>
                <c:pt idx="22">
                  <c:v>46795</c:v>
                </c:pt>
                <c:pt idx="23">
                  <c:v>46826</c:v>
                </c:pt>
                <c:pt idx="24">
                  <c:v>46857</c:v>
                </c:pt>
                <c:pt idx="25">
                  <c:v>46888</c:v>
                </c:pt>
                <c:pt idx="26">
                  <c:v>46919</c:v>
                </c:pt>
                <c:pt idx="27">
                  <c:v>46950</c:v>
                </c:pt>
                <c:pt idx="28">
                  <c:v>46981</c:v>
                </c:pt>
                <c:pt idx="29">
                  <c:v>47012</c:v>
                </c:pt>
                <c:pt idx="30">
                  <c:v>47043</c:v>
                </c:pt>
                <c:pt idx="31">
                  <c:v>47074</c:v>
                </c:pt>
                <c:pt idx="32">
                  <c:v>47105</c:v>
                </c:pt>
                <c:pt idx="33">
                  <c:v>47136</c:v>
                </c:pt>
                <c:pt idx="34">
                  <c:v>47167</c:v>
                </c:pt>
                <c:pt idx="35">
                  <c:v>47198</c:v>
                </c:pt>
                <c:pt idx="36">
                  <c:v>47229</c:v>
                </c:pt>
                <c:pt idx="37">
                  <c:v>47260</c:v>
                </c:pt>
                <c:pt idx="38">
                  <c:v>47291</c:v>
                </c:pt>
                <c:pt idx="39">
                  <c:v>47322</c:v>
                </c:pt>
                <c:pt idx="40">
                  <c:v>47353</c:v>
                </c:pt>
                <c:pt idx="41">
                  <c:v>47384</c:v>
                </c:pt>
                <c:pt idx="42">
                  <c:v>47415</c:v>
                </c:pt>
                <c:pt idx="43">
                  <c:v>47446</c:v>
                </c:pt>
                <c:pt idx="44">
                  <c:v>47477</c:v>
                </c:pt>
                <c:pt idx="45">
                  <c:v>47508</c:v>
                </c:pt>
                <c:pt idx="46">
                  <c:v>47539</c:v>
                </c:pt>
                <c:pt idx="47">
                  <c:v>47570</c:v>
                </c:pt>
              </c:numCache>
            </c:numRef>
          </c:cat>
          <c:val>
            <c:numRef>
              <c:f>'business model (in Real terms)'!$D$68:$AY$68</c:f>
              <c:numCache>
                <c:formatCode>#,##0.00</c:formatCode>
                <c:ptCount val="48"/>
                <c:pt idx="6" formatCode="#,##0.000">
                  <c:v>0.45</c:v>
                </c:pt>
                <c:pt idx="7" formatCode="#,##0.000">
                  <c:v>0.44774999999999998</c:v>
                </c:pt>
                <c:pt idx="8" formatCode="#,##0.000">
                  <c:v>0.44551124999999997</c:v>
                </c:pt>
                <c:pt idx="9" formatCode="#,##0.000">
                  <c:v>0.44328369374999999</c:v>
                </c:pt>
                <c:pt idx="10" formatCode="#,##0.000">
                  <c:v>0.44106727528125</c:v>
                </c:pt>
                <c:pt idx="11" formatCode="#,##0.000">
                  <c:v>0.43886193890484376</c:v>
                </c:pt>
                <c:pt idx="12" formatCode="#,##0.000">
                  <c:v>0.43666762921031954</c:v>
                </c:pt>
                <c:pt idx="13" formatCode="#,##0.000">
                  <c:v>0.43448429106426795</c:v>
                </c:pt>
                <c:pt idx="14" formatCode="#,##0.000">
                  <c:v>0.43231186960894663</c:v>
                </c:pt>
                <c:pt idx="15" formatCode="#,##0.000">
                  <c:v>0.43015031026090189</c:v>
                </c:pt>
                <c:pt idx="16" formatCode="#,##0.000">
                  <c:v>0.42799955870959738</c:v>
                </c:pt>
                <c:pt idx="17" formatCode="#,##0.000">
                  <c:v>0.42585956091604937</c:v>
                </c:pt>
                <c:pt idx="18" formatCode="#,##0.000">
                  <c:v>0.42373026311146911</c:v>
                </c:pt>
                <c:pt idx="19" formatCode="#,##0.000">
                  <c:v>0.42161161179591178</c:v>
                </c:pt>
                <c:pt idx="20" formatCode="#,##0.000">
                  <c:v>0.41950355373693221</c:v>
                </c:pt>
                <c:pt idx="21" formatCode="#,##0.000">
                  <c:v>0.41740603596824755</c:v>
                </c:pt>
                <c:pt idx="22" formatCode="#,##0.000">
                  <c:v>0.4153190057884063</c:v>
                </c:pt>
                <c:pt idx="23" formatCode="#,##0.000">
                  <c:v>0.41324241075946427</c:v>
                </c:pt>
                <c:pt idx="24" formatCode="#,##0.000">
                  <c:v>0.41117619870566696</c:v>
                </c:pt>
                <c:pt idx="25" formatCode="#,##0.000">
                  <c:v>0.40912031771213864</c:v>
                </c:pt>
                <c:pt idx="26" formatCode="#,##0.000">
                  <c:v>0.40707471612357793</c:v>
                </c:pt>
                <c:pt idx="27" formatCode="#,##0.000">
                  <c:v>0.40503934254296003</c:v>
                </c:pt>
                <c:pt idx="28" formatCode="#,##0.000">
                  <c:v>0.40301414583024525</c:v>
                </c:pt>
                <c:pt idx="29" formatCode="#,##0.000">
                  <c:v>0.400999075101094</c:v>
                </c:pt>
                <c:pt idx="30" formatCode="#,##0.000">
                  <c:v>0.39899407972558854</c:v>
                </c:pt>
                <c:pt idx="31" formatCode="#,##0.000">
                  <c:v>0.39699910932696059</c:v>
                </c:pt>
                <c:pt idx="32" formatCode="#,##0.000">
                  <c:v>0.3950141137803258</c:v>
                </c:pt>
                <c:pt idx="33" formatCode="#,##0.000">
                  <c:v>0.39303904321142419</c:v>
                </c:pt>
                <c:pt idx="34" formatCode="#,##0.000">
                  <c:v>0.39107384799536704</c:v>
                </c:pt>
                <c:pt idx="35" formatCode="#,##0.000">
                  <c:v>0.38911847875539018</c:v>
                </c:pt>
                <c:pt idx="36" formatCode="#,##0.000">
                  <c:v>0.38717288636161323</c:v>
                </c:pt>
                <c:pt idx="37" formatCode="#,##0.000">
                  <c:v>0.38523702192980519</c:v>
                </c:pt>
                <c:pt idx="38" formatCode="#,##0.000">
                  <c:v>0.38331083682015615</c:v>
                </c:pt>
                <c:pt idx="39" formatCode="#,##0.000">
                  <c:v>0.38139428263605535</c:v>
                </c:pt>
                <c:pt idx="40" formatCode="#,##0.000">
                  <c:v>0.37948731122287505</c:v>
                </c:pt>
                <c:pt idx="41" formatCode="#,##0.000">
                  <c:v>0.37758987466676069</c:v>
                </c:pt>
                <c:pt idx="42" formatCode="#,##0.000">
                  <c:v>0.37570192529342689</c:v>
                </c:pt>
                <c:pt idx="43" formatCode="#,##0.000">
                  <c:v>0.37382341566695976</c:v>
                </c:pt>
                <c:pt idx="44" formatCode="#,##0.000">
                  <c:v>0.37195429858862494</c:v>
                </c:pt>
                <c:pt idx="45">
                  <c:v>0.37195429858862494</c:v>
                </c:pt>
                <c:pt idx="46">
                  <c:v>0.37195429858862494</c:v>
                </c:pt>
                <c:pt idx="47">
                  <c:v>0.37195429858862494</c:v>
                </c:pt>
              </c:numCache>
            </c:numRef>
          </c:val>
          <c:smooth val="0"/>
          <c:extLst>
            <c:ext xmlns:c16="http://schemas.microsoft.com/office/drawing/2014/chart" uri="{C3380CC4-5D6E-409C-BE32-E72D297353CC}">
              <c16:uniqueId val="{00000000-A789-478E-AA46-F0BBF8E22E7D}"/>
            </c:ext>
          </c:extLst>
        </c:ser>
        <c:dLbls>
          <c:showLegendKey val="0"/>
          <c:showVal val="0"/>
          <c:showCatName val="0"/>
          <c:showSerName val="0"/>
          <c:showPercent val="0"/>
          <c:showBubbleSize val="0"/>
        </c:dLbls>
        <c:marker val="1"/>
        <c:smooth val="0"/>
        <c:axId val="540834432"/>
        <c:axId val="540833120"/>
      </c:lineChart>
      <c:dateAx>
        <c:axId val="275019768"/>
        <c:scaling>
          <c:orientation val="minMax"/>
        </c:scaling>
        <c:delete val="0"/>
        <c:axPos val="b"/>
        <c:numFmt formatCode="mmm\ yyyy" sourceLinked="1"/>
        <c:majorTickMark val="out"/>
        <c:minorTickMark val="none"/>
        <c:tickLblPos val="nextTo"/>
        <c:txPr>
          <a:bodyPr/>
          <a:lstStyle/>
          <a:p>
            <a:pPr algn="ctr">
              <a:defRPr lang="en-AU" sz="900" b="0" i="0" u="none" strike="noStrike" kern="1200" baseline="0">
                <a:solidFill>
                  <a:schemeClr val="tx1"/>
                </a:solidFill>
                <a:latin typeface="+mn-lt"/>
                <a:ea typeface="+mn-ea"/>
                <a:cs typeface="+mn-cs"/>
              </a:defRPr>
            </a:pPr>
            <a:endParaRPr lang="en-US"/>
          </a:p>
        </c:txPr>
        <c:crossAx val="275020160"/>
        <c:crosses val="autoZero"/>
        <c:auto val="1"/>
        <c:lblOffset val="100"/>
        <c:baseTimeUnit val="months"/>
      </c:dateAx>
      <c:valAx>
        <c:axId val="275020160"/>
        <c:scaling>
          <c:orientation val="minMax"/>
        </c:scaling>
        <c:delete val="0"/>
        <c:axPos val="l"/>
        <c:majorGridlines/>
        <c:numFmt formatCode="#,##0" sourceLinked="1"/>
        <c:majorTickMark val="out"/>
        <c:minorTickMark val="none"/>
        <c:tickLblPos val="nextTo"/>
        <c:txPr>
          <a:bodyPr/>
          <a:lstStyle/>
          <a:p>
            <a:pPr>
              <a:defRPr sz="1000" b="0">
                <a:solidFill>
                  <a:sysClr val="windowText" lastClr="000000"/>
                </a:solidFill>
              </a:defRPr>
            </a:pPr>
            <a:endParaRPr lang="en-US"/>
          </a:p>
        </c:txPr>
        <c:crossAx val="275019768"/>
        <c:crosses val="autoZero"/>
        <c:crossBetween val="between"/>
      </c:valAx>
      <c:valAx>
        <c:axId val="540833120"/>
        <c:scaling>
          <c:orientation val="minMax"/>
        </c:scaling>
        <c:delete val="0"/>
        <c:axPos val="r"/>
        <c:numFmt formatCode="#,##0.00" sourceLinked="1"/>
        <c:majorTickMark val="out"/>
        <c:minorTickMark val="none"/>
        <c:tickLblPos val="nextTo"/>
        <c:txPr>
          <a:bodyPr/>
          <a:lstStyle/>
          <a:p>
            <a:pPr>
              <a:defRPr sz="1000" b="1"/>
            </a:pPr>
            <a:endParaRPr lang="en-US"/>
          </a:p>
        </c:txPr>
        <c:crossAx val="540834432"/>
        <c:crosses val="max"/>
        <c:crossBetween val="between"/>
      </c:valAx>
      <c:dateAx>
        <c:axId val="540834432"/>
        <c:scaling>
          <c:orientation val="minMax"/>
        </c:scaling>
        <c:delete val="1"/>
        <c:axPos val="b"/>
        <c:numFmt formatCode="mmm\ yyyy" sourceLinked="1"/>
        <c:majorTickMark val="out"/>
        <c:minorTickMark val="none"/>
        <c:tickLblPos val="nextTo"/>
        <c:crossAx val="540833120"/>
        <c:crosses val="autoZero"/>
        <c:auto val="1"/>
        <c:lblOffset val="100"/>
        <c:baseTimeUnit val="months"/>
      </c:dateAx>
    </c:plotArea>
    <c:legend>
      <c:legendPos val="r"/>
      <c:layout>
        <c:manualLayout>
          <c:xMode val="edge"/>
          <c:yMode val="edge"/>
          <c:x val="0.74897601115078005"/>
          <c:y val="8.2398898783250282E-2"/>
          <c:w val="0.24067202197551393"/>
          <c:h val="0.88536483729601523"/>
        </c:manualLayout>
      </c:layout>
      <c:overlay val="0"/>
      <c:txPr>
        <a:bodyPr/>
        <a:lstStyle/>
        <a:p>
          <a:pPr>
            <a:defRPr sz="1000" b="0"/>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Cash Generated </a:t>
            </a:r>
            <a:r>
              <a:rPr lang="en-US" sz="1200" b="0"/>
              <a:t>before funding</a:t>
            </a:r>
          </a:p>
          <a:p>
            <a:pPr>
              <a:defRPr sz="1200"/>
            </a:pPr>
            <a:endParaRPr lang="en-US" sz="1200"/>
          </a:p>
        </c:rich>
      </c:tx>
      <c:layout>
        <c:manualLayout>
          <c:xMode val="edge"/>
          <c:yMode val="edge"/>
          <c:x val="0.24240103916220915"/>
          <c:y val="4.82293010852732E-2"/>
        </c:manualLayout>
      </c:layout>
      <c:overlay val="0"/>
    </c:title>
    <c:autoTitleDeleted val="0"/>
    <c:plotArea>
      <c:layout>
        <c:manualLayout>
          <c:layoutTarget val="inner"/>
          <c:xMode val="edge"/>
          <c:yMode val="edge"/>
          <c:x val="0.10203268961608807"/>
          <c:y val="6.3661917916008115E-2"/>
          <c:w val="0.84910378763100991"/>
          <c:h val="0.80969985640156028"/>
        </c:manualLayout>
      </c:layout>
      <c:barChart>
        <c:barDir val="col"/>
        <c:grouping val="stacked"/>
        <c:varyColors val="0"/>
        <c:ser>
          <c:idx val="1"/>
          <c:order val="1"/>
          <c:tx>
            <c:strRef>
              <c:f>'business model (in Real terms)'!$A$168</c:f>
              <c:strCache>
                <c:ptCount val="1"/>
                <c:pt idx="0">
                  <c:v>Cash Generation over 48 months (before funding)</c:v>
                </c:pt>
              </c:strCache>
            </c:strRef>
          </c:tx>
          <c:spPr>
            <a:solidFill>
              <a:srgbClr val="2AE41C"/>
            </a:solidFill>
            <a:ln>
              <a:noFill/>
            </a:ln>
          </c:spPr>
          <c:invertIfNegative val="0"/>
          <c:cat>
            <c:numRef>
              <c:f>'business model (in Real terms)'!$D$60:$H$60</c:f>
              <c:numCache>
                <c:formatCode>mmm\ yyyy</c:formatCode>
                <c:ptCount val="5"/>
                <c:pt idx="0">
                  <c:v>46113</c:v>
                </c:pt>
                <c:pt idx="1">
                  <c:v>46144</c:v>
                </c:pt>
                <c:pt idx="2">
                  <c:v>46175</c:v>
                </c:pt>
                <c:pt idx="3">
                  <c:v>46206</c:v>
                </c:pt>
                <c:pt idx="4">
                  <c:v>46237</c:v>
                </c:pt>
              </c:numCache>
            </c:numRef>
          </c:cat>
          <c:val>
            <c:numRef>
              <c:f>'business model (in Real terms)'!$D$168:$AY$168</c:f>
              <c:numCache>
                <c:formatCode>#,##0_);[Red]\(#,##0\)</c:formatCode>
                <c:ptCount val="48"/>
                <c:pt idx="0">
                  <c:v>-1100</c:v>
                </c:pt>
                <c:pt idx="1">
                  <c:v>-10190.90909090909</c:v>
                </c:pt>
                <c:pt idx="2">
                  <c:v>-17463.636363636364</c:v>
                </c:pt>
                <c:pt idx="3">
                  <c:v>-24736.363636363636</c:v>
                </c:pt>
                <c:pt idx="4">
                  <c:v>-12009.090909090908</c:v>
                </c:pt>
                <c:pt idx="5">
                  <c:v>-22463.636363636364</c:v>
                </c:pt>
                <c:pt idx="6">
                  <c:v>7092.9317041401664</c:v>
                </c:pt>
                <c:pt idx="7">
                  <c:v>5207.1883546485933</c:v>
                </c:pt>
                <c:pt idx="8">
                  <c:v>5222.7272840972037</c:v>
                </c:pt>
                <c:pt idx="9">
                  <c:v>5238.2922084905713</c:v>
                </c:pt>
                <c:pt idx="10">
                  <c:v>5253.880121624592</c:v>
                </c:pt>
                <c:pt idx="11">
                  <c:v>5269.4880257667355</c:v>
                </c:pt>
                <c:pt idx="12">
                  <c:v>5285.1129307918873</c:v>
                </c:pt>
                <c:pt idx="13">
                  <c:v>5300.7518533286184</c:v>
                </c:pt>
                <c:pt idx="14">
                  <c:v>5316.4018159155385</c:v>
                </c:pt>
                <c:pt idx="15">
                  <c:v>5332.0598461674726</c:v>
                </c:pt>
                <c:pt idx="16">
                  <c:v>5347.7229759511793</c:v>
                </c:pt>
                <c:pt idx="17">
                  <c:v>5363.3882405702971</c:v>
                </c:pt>
                <c:pt idx="18">
                  <c:v>5379.0526779592819</c:v>
                </c:pt>
                <c:pt idx="19">
                  <c:v>5394.713327886051</c:v>
                </c:pt>
                <c:pt idx="20">
                  <c:v>5410.3672311630435</c:v>
                </c:pt>
                <c:pt idx="21">
                  <c:v>5426.0114288664754</c:v>
                </c:pt>
                <c:pt idx="22">
                  <c:v>5441.6429615635152</c:v>
                </c:pt>
                <c:pt idx="23">
                  <c:v>5457.2588685471201</c:v>
                </c:pt>
                <c:pt idx="24">
                  <c:v>5472.8561870782869</c:v>
                </c:pt>
                <c:pt idx="25">
                  <c:v>5488.4319516354881</c:v>
                </c:pt>
                <c:pt idx="26">
                  <c:v>5503.9831931710451</c:v>
                </c:pt>
                <c:pt idx="27">
                  <c:v>5519.5069383742011</c:v>
                </c:pt>
                <c:pt idx="28">
                  <c:v>5535.0002089406589</c:v>
                </c:pt>
                <c:pt idx="29">
                  <c:v>5550.4600208483662</c:v>
                </c:pt>
                <c:pt idx="30">
                  <c:v>5565.8833836393205</c:v>
                </c:pt>
                <c:pt idx="31">
                  <c:v>5581.267299707175</c:v>
                </c:pt>
                <c:pt idx="32">
                  <c:v>5596.6087635904078</c:v>
                </c:pt>
                <c:pt idx="33">
                  <c:v>5611.9047612709037</c:v>
                </c:pt>
                <c:pt idx="34">
                  <c:v>5627.1522694776377</c:v>
                </c:pt>
                <c:pt idx="35">
                  <c:v>5642.3482549953733</c:v>
                </c:pt>
                <c:pt idx="36">
                  <c:v>5657.4896739780652</c:v>
                </c:pt>
                <c:pt idx="37">
                  <c:v>5672.5734712668436</c:v>
                </c:pt>
                <c:pt idx="38">
                  <c:v>5687.5965797123281</c:v>
                </c:pt>
                <c:pt idx="39">
                  <c:v>5702.5559195011374</c:v>
                </c:pt>
                <c:pt idx="40">
                  <c:v>5717.4483974863451</c:v>
                </c:pt>
                <c:pt idx="41">
                  <c:v>5732.2709065217205</c:v>
                </c:pt>
                <c:pt idx="42">
                  <c:v>5747.0203247995923</c:v>
                </c:pt>
                <c:pt idx="43">
                  <c:v>5761.6935151921007</c:v>
                </c:pt>
                <c:pt idx="44">
                  <c:v>5789.2240432796989</c:v>
                </c:pt>
                <c:pt idx="45">
                  <c:v>5787.7084854758159</c:v>
                </c:pt>
                <c:pt idx="46">
                  <c:v>6712.834350277697</c:v>
                </c:pt>
                <c:pt idx="47">
                  <c:v>12999.953324930959</c:v>
                </c:pt>
              </c:numCache>
            </c:numRef>
          </c:val>
          <c:extLst>
            <c:ext xmlns:c16="http://schemas.microsoft.com/office/drawing/2014/chart" uri="{C3380CC4-5D6E-409C-BE32-E72D297353CC}">
              <c16:uniqueId val="{00000000-62CA-44F3-B3F9-F826DCB6EB34}"/>
            </c:ext>
          </c:extLst>
        </c:ser>
        <c:dLbls>
          <c:showLegendKey val="0"/>
          <c:showVal val="0"/>
          <c:showCatName val="0"/>
          <c:showSerName val="0"/>
          <c:showPercent val="0"/>
          <c:showBubbleSize val="0"/>
        </c:dLbls>
        <c:gapWidth val="0"/>
        <c:overlap val="100"/>
        <c:axId val="275021336"/>
        <c:axId val="277108728"/>
      </c:barChart>
      <c:lineChart>
        <c:grouping val="standard"/>
        <c:varyColors val="0"/>
        <c:ser>
          <c:idx val="0"/>
          <c:order val="0"/>
          <c:tx>
            <c:strRef>
              <c:f>'business model (in Real terms)'!$A$169</c:f>
              <c:strCache>
                <c:ptCount val="1"/>
                <c:pt idx="0">
                  <c:v>Cash Generated - Cumulative over 48 months</c:v>
                </c:pt>
              </c:strCache>
            </c:strRef>
          </c:tx>
          <c:spPr>
            <a:ln w="28575">
              <a:solidFill>
                <a:srgbClr val="008000"/>
              </a:solidFill>
            </a:ln>
          </c:spPr>
          <c:marker>
            <c:symbol val="none"/>
          </c:marker>
          <c:cat>
            <c:numRef>
              <c:f>'business model (in Real terms)'!$D$60:$AY$60</c:f>
              <c:numCache>
                <c:formatCode>mmm\ yyyy</c:formatCode>
                <c:ptCount val="48"/>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pt idx="12">
                  <c:v>46485</c:v>
                </c:pt>
                <c:pt idx="13">
                  <c:v>46516</c:v>
                </c:pt>
                <c:pt idx="14">
                  <c:v>46547</c:v>
                </c:pt>
                <c:pt idx="15">
                  <c:v>46578</c:v>
                </c:pt>
                <c:pt idx="16">
                  <c:v>46609</c:v>
                </c:pt>
                <c:pt idx="17">
                  <c:v>46640</c:v>
                </c:pt>
                <c:pt idx="18">
                  <c:v>46671</c:v>
                </c:pt>
                <c:pt idx="19">
                  <c:v>46702</c:v>
                </c:pt>
                <c:pt idx="20">
                  <c:v>46733</c:v>
                </c:pt>
                <c:pt idx="21">
                  <c:v>46764</c:v>
                </c:pt>
                <c:pt idx="22">
                  <c:v>46795</c:v>
                </c:pt>
                <c:pt idx="23">
                  <c:v>46826</c:v>
                </c:pt>
                <c:pt idx="24">
                  <c:v>46857</c:v>
                </c:pt>
                <c:pt idx="25">
                  <c:v>46888</c:v>
                </c:pt>
                <c:pt idx="26">
                  <c:v>46919</c:v>
                </c:pt>
                <c:pt idx="27">
                  <c:v>46950</c:v>
                </c:pt>
                <c:pt idx="28">
                  <c:v>46981</c:v>
                </c:pt>
                <c:pt idx="29">
                  <c:v>47012</c:v>
                </c:pt>
                <c:pt idx="30">
                  <c:v>47043</c:v>
                </c:pt>
                <c:pt idx="31">
                  <c:v>47074</c:v>
                </c:pt>
                <c:pt idx="32">
                  <c:v>47105</c:v>
                </c:pt>
                <c:pt idx="33">
                  <c:v>47136</c:v>
                </c:pt>
                <c:pt idx="34">
                  <c:v>47167</c:v>
                </c:pt>
                <c:pt idx="35">
                  <c:v>47198</c:v>
                </c:pt>
                <c:pt idx="36">
                  <c:v>47229</c:v>
                </c:pt>
                <c:pt idx="37">
                  <c:v>47260</c:v>
                </c:pt>
                <c:pt idx="38">
                  <c:v>47291</c:v>
                </c:pt>
                <c:pt idx="39">
                  <c:v>47322</c:v>
                </c:pt>
                <c:pt idx="40">
                  <c:v>47353</c:v>
                </c:pt>
                <c:pt idx="41">
                  <c:v>47384</c:v>
                </c:pt>
                <c:pt idx="42">
                  <c:v>47415</c:v>
                </c:pt>
                <c:pt idx="43">
                  <c:v>47446</c:v>
                </c:pt>
                <c:pt idx="44">
                  <c:v>47477</c:v>
                </c:pt>
                <c:pt idx="45">
                  <c:v>47508</c:v>
                </c:pt>
                <c:pt idx="46">
                  <c:v>47539</c:v>
                </c:pt>
                <c:pt idx="47">
                  <c:v>47570</c:v>
                </c:pt>
              </c:numCache>
            </c:numRef>
          </c:cat>
          <c:val>
            <c:numRef>
              <c:f>'business model (in Real terms)'!$D$169:$AY$169</c:f>
              <c:numCache>
                <c:formatCode>#,##0_);[Red]\(#,##0\)</c:formatCode>
                <c:ptCount val="48"/>
                <c:pt idx="0">
                  <c:v>-1100</c:v>
                </c:pt>
                <c:pt idx="1">
                  <c:v>-11290.90909090909</c:v>
                </c:pt>
                <c:pt idx="2">
                  <c:v>-28754.545454545456</c:v>
                </c:pt>
                <c:pt idx="3">
                  <c:v>-53490.909090909088</c:v>
                </c:pt>
                <c:pt idx="4">
                  <c:v>-65500</c:v>
                </c:pt>
                <c:pt idx="5">
                  <c:v>-87963.636363636368</c:v>
                </c:pt>
                <c:pt idx="6">
                  <c:v>-80870.704659496201</c:v>
                </c:pt>
                <c:pt idx="7">
                  <c:v>-75663.51630484761</c:v>
                </c:pt>
                <c:pt idx="8">
                  <c:v>-70440.78902075041</c:v>
                </c:pt>
                <c:pt idx="9">
                  <c:v>-65202.496812259837</c:v>
                </c:pt>
                <c:pt idx="10">
                  <c:v>-59948.616690635245</c:v>
                </c:pt>
                <c:pt idx="11">
                  <c:v>-54679.128664868505</c:v>
                </c:pt>
                <c:pt idx="12">
                  <c:v>-49394.015734076616</c:v>
                </c:pt>
                <c:pt idx="13">
                  <c:v>-44093.263880747996</c:v>
                </c:pt>
                <c:pt idx="14">
                  <c:v>-38776.862064832458</c:v>
                </c:pt>
                <c:pt idx="15">
                  <c:v>-33444.802218664983</c:v>
                </c:pt>
                <c:pt idx="16">
                  <c:v>-28097.079242713804</c:v>
                </c:pt>
                <c:pt idx="17">
                  <c:v>-22733.691002143507</c:v>
                </c:pt>
                <c:pt idx="18">
                  <c:v>-17354.638324184227</c:v>
                </c:pt>
                <c:pt idx="19">
                  <c:v>-11959.924996298176</c:v>
                </c:pt>
                <c:pt idx="20">
                  <c:v>-6549.5577651351323</c:v>
                </c:pt>
                <c:pt idx="21">
                  <c:v>-1123.5463362686569</c:v>
                </c:pt>
                <c:pt idx="22">
                  <c:v>4318.0966252948583</c:v>
                </c:pt>
                <c:pt idx="23">
                  <c:v>9775.3554938419784</c:v>
                </c:pt>
                <c:pt idx="24">
                  <c:v>15248.211680920265</c:v>
                </c:pt>
                <c:pt idx="25">
                  <c:v>20736.643632555752</c:v>
                </c:pt>
                <c:pt idx="26">
                  <c:v>26240.626825726795</c:v>
                </c:pt>
                <c:pt idx="27">
                  <c:v>31760.133764100996</c:v>
                </c:pt>
                <c:pt idx="28">
                  <c:v>37295.133973041651</c:v>
                </c:pt>
                <c:pt idx="29">
                  <c:v>42845.593993890019</c:v>
                </c:pt>
                <c:pt idx="30">
                  <c:v>48411.477377529343</c:v>
                </c:pt>
                <c:pt idx="31">
                  <c:v>53992.744677236522</c:v>
                </c:pt>
                <c:pt idx="32">
                  <c:v>59589.353440826933</c:v>
                </c:pt>
                <c:pt idx="33">
                  <c:v>65201.258202097837</c:v>
                </c:pt>
                <c:pt idx="34">
                  <c:v>70828.41047157548</c:v>
                </c:pt>
                <c:pt idx="35">
                  <c:v>76470.758726570857</c:v>
                </c:pt>
                <c:pt idx="36">
                  <c:v>82128.248400548924</c:v>
                </c:pt>
                <c:pt idx="37">
                  <c:v>87800.821871815773</c:v>
                </c:pt>
                <c:pt idx="38">
                  <c:v>93488.418451528094</c:v>
                </c:pt>
                <c:pt idx="39">
                  <c:v>99190.974371029239</c:v>
                </c:pt>
                <c:pt idx="40">
                  <c:v>104908.42276851558</c:v>
                </c:pt>
                <c:pt idx="41">
                  <c:v>110640.6936750373</c:v>
                </c:pt>
                <c:pt idx="42">
                  <c:v>116387.71399983689</c:v>
                </c:pt>
                <c:pt idx="43">
                  <c:v>122149.407515029</c:v>
                </c:pt>
                <c:pt idx="44">
                  <c:v>127938.6315583087</c:v>
                </c:pt>
                <c:pt idx="45">
                  <c:v>133726.34004378453</c:v>
                </c:pt>
                <c:pt idx="46">
                  <c:v>140439.17439406223</c:v>
                </c:pt>
                <c:pt idx="47">
                  <c:v>153439.12771899317</c:v>
                </c:pt>
              </c:numCache>
            </c:numRef>
          </c:val>
          <c:smooth val="0"/>
          <c:extLst>
            <c:ext xmlns:c16="http://schemas.microsoft.com/office/drawing/2014/chart" uri="{C3380CC4-5D6E-409C-BE32-E72D297353CC}">
              <c16:uniqueId val="{00000000-9E2F-4FEE-A9BB-E6CC3E60004E}"/>
            </c:ext>
          </c:extLst>
        </c:ser>
        <c:dLbls>
          <c:showLegendKey val="0"/>
          <c:showVal val="0"/>
          <c:showCatName val="0"/>
          <c:showSerName val="0"/>
          <c:showPercent val="0"/>
          <c:showBubbleSize val="0"/>
        </c:dLbls>
        <c:marker val="1"/>
        <c:smooth val="0"/>
        <c:axId val="275021336"/>
        <c:axId val="277108728"/>
      </c:lineChart>
      <c:dateAx>
        <c:axId val="275021336"/>
        <c:scaling>
          <c:orientation val="minMax"/>
        </c:scaling>
        <c:delete val="0"/>
        <c:axPos val="b"/>
        <c:numFmt formatCode="mmm\ yyyy" sourceLinked="1"/>
        <c:majorTickMark val="out"/>
        <c:minorTickMark val="none"/>
        <c:tickLblPos val="nextTo"/>
        <c:spPr>
          <a:ln>
            <a:solidFill>
              <a:srgbClr val="00B050"/>
            </a:solidFill>
          </a:ln>
        </c:spPr>
        <c:txPr>
          <a:bodyPr/>
          <a:lstStyle/>
          <a:p>
            <a:pPr>
              <a:defRPr sz="900" b="0"/>
            </a:pPr>
            <a:endParaRPr lang="en-US"/>
          </a:p>
        </c:txPr>
        <c:crossAx val="277108728"/>
        <c:crosses val="autoZero"/>
        <c:auto val="1"/>
        <c:lblOffset val="100"/>
        <c:baseTimeUnit val="months"/>
      </c:dateAx>
      <c:valAx>
        <c:axId val="277108728"/>
        <c:scaling>
          <c:orientation val="minMax"/>
        </c:scaling>
        <c:delete val="0"/>
        <c:axPos val="l"/>
        <c:majorGridlines/>
        <c:title>
          <c:tx>
            <c:rich>
              <a:bodyPr rot="-5400000" vert="horz"/>
              <a:lstStyle/>
              <a:p>
                <a:pPr>
                  <a:defRPr sz="1200"/>
                </a:pPr>
                <a:r>
                  <a:rPr lang="en-US" sz="1200"/>
                  <a:t>$</a:t>
                </a:r>
              </a:p>
            </c:rich>
          </c:tx>
          <c:layout>
            <c:manualLayout>
              <c:xMode val="edge"/>
              <c:yMode val="edge"/>
              <c:x val="1.0524695597327655E-2"/>
              <c:y val="0.30162301092108856"/>
            </c:manualLayout>
          </c:layout>
          <c:overlay val="0"/>
        </c:title>
        <c:numFmt formatCode="#,##0" sourceLinked="0"/>
        <c:majorTickMark val="out"/>
        <c:minorTickMark val="none"/>
        <c:tickLblPos val="nextTo"/>
        <c:txPr>
          <a:bodyPr/>
          <a:lstStyle/>
          <a:p>
            <a:pPr>
              <a:defRPr sz="1000" b="0"/>
            </a:pPr>
            <a:endParaRPr lang="en-US"/>
          </a:p>
        </c:txPr>
        <c:crossAx val="275021336"/>
        <c:crosses val="autoZero"/>
        <c:crossBetween val="between"/>
      </c:valAx>
    </c:plotArea>
    <c:legend>
      <c:legendPos val="b"/>
      <c:overlay val="0"/>
      <c:txPr>
        <a:bodyPr/>
        <a:lstStyle/>
        <a:p>
          <a:pPr>
            <a:defRPr sz="1000" b="0" i="0"/>
          </a:pPr>
          <a:endParaRPr lang="en-US"/>
        </a:p>
      </c:txPr>
    </c:legend>
    <c:plotVisOnly val="1"/>
    <c:dispBlanksAs val="gap"/>
    <c:showDLblsOverMax val="0"/>
  </c:chart>
  <c:txPr>
    <a:bodyPr/>
    <a:lstStyle/>
    <a:p>
      <a:pPr algn="ctr">
        <a:defRPr lang="en-AU" sz="1600" b="1" i="0" u="none" strike="noStrike" kern="1200" baseline="0">
          <a:solidFill>
            <a:sysClr val="windowText" lastClr="000000"/>
          </a:solidFill>
          <a:latin typeface="+mn-lt"/>
          <a:ea typeface="+mn-ea"/>
          <a:cs typeface="+mn-cs"/>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Operating Costs</a:t>
            </a:r>
          </a:p>
        </c:rich>
      </c:tx>
      <c:layout>
        <c:manualLayout>
          <c:xMode val="edge"/>
          <c:yMode val="edge"/>
          <c:x val="0.19059988496412622"/>
          <c:y val="8.4865930697296643E-2"/>
        </c:manualLayout>
      </c:layout>
      <c:overlay val="1"/>
    </c:title>
    <c:autoTitleDeleted val="0"/>
    <c:plotArea>
      <c:layout>
        <c:manualLayout>
          <c:layoutTarget val="inner"/>
          <c:xMode val="edge"/>
          <c:yMode val="edge"/>
          <c:x val="0.11292722258095889"/>
          <c:y val="6.4350645709759513E-2"/>
          <c:w val="0.581841948212652"/>
          <c:h val="0.8788128385405769"/>
        </c:manualLayout>
      </c:layout>
      <c:barChart>
        <c:barDir val="col"/>
        <c:grouping val="stacked"/>
        <c:varyColors val="0"/>
        <c:ser>
          <c:idx val="2"/>
          <c:order val="0"/>
          <c:tx>
            <c:strRef>
              <c:f>'business model (in Real terms)'!$A$110</c:f>
              <c:strCache>
                <c:ptCount val="1"/>
                <c:pt idx="0">
                  <c:v>fixed costs</c:v>
                </c:pt>
              </c:strCache>
            </c:strRef>
          </c:tx>
          <c:spPr>
            <a:solidFill>
              <a:schemeClr val="accent6">
                <a:lumMod val="60000"/>
                <a:lumOff val="40000"/>
              </a:schemeClr>
            </a:solidFill>
          </c:spPr>
          <c:invertIfNegative val="0"/>
          <c:cat>
            <c:numRef>
              <c:f>'business model (in Real terms)'!$D$60:$AY$60</c:f>
              <c:numCache>
                <c:formatCode>mmm\ yyyy</c:formatCode>
                <c:ptCount val="48"/>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pt idx="12">
                  <c:v>46485</c:v>
                </c:pt>
                <c:pt idx="13">
                  <c:v>46516</c:v>
                </c:pt>
                <c:pt idx="14">
                  <c:v>46547</c:v>
                </c:pt>
                <c:pt idx="15">
                  <c:v>46578</c:v>
                </c:pt>
                <c:pt idx="16">
                  <c:v>46609</c:v>
                </c:pt>
                <c:pt idx="17">
                  <c:v>46640</c:v>
                </c:pt>
                <c:pt idx="18">
                  <c:v>46671</c:v>
                </c:pt>
                <c:pt idx="19">
                  <c:v>46702</c:v>
                </c:pt>
                <c:pt idx="20">
                  <c:v>46733</c:v>
                </c:pt>
                <c:pt idx="21">
                  <c:v>46764</c:v>
                </c:pt>
                <c:pt idx="22">
                  <c:v>46795</c:v>
                </c:pt>
                <c:pt idx="23">
                  <c:v>46826</c:v>
                </c:pt>
                <c:pt idx="24">
                  <c:v>46857</c:v>
                </c:pt>
                <c:pt idx="25">
                  <c:v>46888</c:v>
                </c:pt>
                <c:pt idx="26">
                  <c:v>46919</c:v>
                </c:pt>
                <c:pt idx="27">
                  <c:v>46950</c:v>
                </c:pt>
                <c:pt idx="28">
                  <c:v>46981</c:v>
                </c:pt>
                <c:pt idx="29">
                  <c:v>47012</c:v>
                </c:pt>
                <c:pt idx="30">
                  <c:v>47043</c:v>
                </c:pt>
                <c:pt idx="31">
                  <c:v>47074</c:v>
                </c:pt>
                <c:pt idx="32">
                  <c:v>47105</c:v>
                </c:pt>
                <c:pt idx="33">
                  <c:v>47136</c:v>
                </c:pt>
                <c:pt idx="34">
                  <c:v>47167</c:v>
                </c:pt>
                <c:pt idx="35">
                  <c:v>47198</c:v>
                </c:pt>
                <c:pt idx="36">
                  <c:v>47229</c:v>
                </c:pt>
                <c:pt idx="37">
                  <c:v>47260</c:v>
                </c:pt>
                <c:pt idx="38">
                  <c:v>47291</c:v>
                </c:pt>
                <c:pt idx="39">
                  <c:v>47322</c:v>
                </c:pt>
                <c:pt idx="40">
                  <c:v>47353</c:v>
                </c:pt>
                <c:pt idx="41">
                  <c:v>47384</c:v>
                </c:pt>
                <c:pt idx="42">
                  <c:v>47415</c:v>
                </c:pt>
                <c:pt idx="43">
                  <c:v>47446</c:v>
                </c:pt>
                <c:pt idx="44">
                  <c:v>47477</c:v>
                </c:pt>
                <c:pt idx="45">
                  <c:v>47508</c:v>
                </c:pt>
                <c:pt idx="46">
                  <c:v>47539</c:v>
                </c:pt>
                <c:pt idx="47">
                  <c:v>47570</c:v>
                </c:pt>
              </c:numCache>
            </c:numRef>
          </c:cat>
          <c:val>
            <c:numRef>
              <c:f>'business model (in Real terms)'!$D$110:$AY$110</c:f>
              <c:numCache>
                <c:formatCode>#,##0</c:formatCode>
                <c:ptCount val="48"/>
                <c:pt idx="0">
                  <c:v>1210</c:v>
                </c:pt>
                <c:pt idx="1">
                  <c:v>1210</c:v>
                </c:pt>
                <c:pt idx="2">
                  <c:v>1210</c:v>
                </c:pt>
                <c:pt idx="3">
                  <c:v>1210</c:v>
                </c:pt>
                <c:pt idx="4">
                  <c:v>1210</c:v>
                </c:pt>
                <c:pt idx="5">
                  <c:v>1210</c:v>
                </c:pt>
                <c:pt idx="6">
                  <c:v>1210</c:v>
                </c:pt>
                <c:pt idx="7">
                  <c:v>1210</c:v>
                </c:pt>
                <c:pt idx="8">
                  <c:v>1210</c:v>
                </c:pt>
                <c:pt idx="9">
                  <c:v>1210</c:v>
                </c:pt>
                <c:pt idx="10">
                  <c:v>1210</c:v>
                </c:pt>
                <c:pt idx="11">
                  <c:v>1210</c:v>
                </c:pt>
                <c:pt idx="12">
                  <c:v>1210</c:v>
                </c:pt>
                <c:pt idx="13">
                  <c:v>1210</c:v>
                </c:pt>
                <c:pt idx="14">
                  <c:v>1210</c:v>
                </c:pt>
                <c:pt idx="15">
                  <c:v>1210</c:v>
                </c:pt>
                <c:pt idx="16">
                  <c:v>1210</c:v>
                </c:pt>
                <c:pt idx="17">
                  <c:v>1210</c:v>
                </c:pt>
                <c:pt idx="18">
                  <c:v>1210</c:v>
                </c:pt>
                <c:pt idx="19">
                  <c:v>1210</c:v>
                </c:pt>
                <c:pt idx="20">
                  <c:v>1210</c:v>
                </c:pt>
                <c:pt idx="21">
                  <c:v>1210</c:v>
                </c:pt>
                <c:pt idx="22">
                  <c:v>1210</c:v>
                </c:pt>
                <c:pt idx="23">
                  <c:v>1210</c:v>
                </c:pt>
                <c:pt idx="24">
                  <c:v>1210</c:v>
                </c:pt>
                <c:pt idx="25">
                  <c:v>1210</c:v>
                </c:pt>
                <c:pt idx="26">
                  <c:v>1210</c:v>
                </c:pt>
                <c:pt idx="27">
                  <c:v>1210</c:v>
                </c:pt>
                <c:pt idx="28">
                  <c:v>1210</c:v>
                </c:pt>
                <c:pt idx="29">
                  <c:v>1210</c:v>
                </c:pt>
                <c:pt idx="30">
                  <c:v>1210</c:v>
                </c:pt>
                <c:pt idx="31">
                  <c:v>1210</c:v>
                </c:pt>
                <c:pt idx="32">
                  <c:v>1210</c:v>
                </c:pt>
                <c:pt idx="33">
                  <c:v>1210</c:v>
                </c:pt>
                <c:pt idx="34">
                  <c:v>1210</c:v>
                </c:pt>
                <c:pt idx="35">
                  <c:v>1210</c:v>
                </c:pt>
                <c:pt idx="36">
                  <c:v>1210</c:v>
                </c:pt>
                <c:pt idx="37">
                  <c:v>1210</c:v>
                </c:pt>
                <c:pt idx="38">
                  <c:v>1210</c:v>
                </c:pt>
                <c:pt idx="39">
                  <c:v>1210</c:v>
                </c:pt>
                <c:pt idx="40">
                  <c:v>1210</c:v>
                </c:pt>
                <c:pt idx="41">
                  <c:v>1210</c:v>
                </c:pt>
                <c:pt idx="42">
                  <c:v>1210</c:v>
                </c:pt>
                <c:pt idx="43">
                  <c:v>1210</c:v>
                </c:pt>
                <c:pt idx="44">
                  <c:v>1210</c:v>
                </c:pt>
                <c:pt idx="45">
                  <c:v>1210</c:v>
                </c:pt>
                <c:pt idx="46">
                  <c:v>1210</c:v>
                </c:pt>
                <c:pt idx="47">
                  <c:v>1210</c:v>
                </c:pt>
              </c:numCache>
            </c:numRef>
          </c:val>
          <c:extLst>
            <c:ext xmlns:c16="http://schemas.microsoft.com/office/drawing/2014/chart" uri="{C3380CC4-5D6E-409C-BE32-E72D297353CC}">
              <c16:uniqueId val="{00000001-9D80-4537-9BBE-AE3BAE18227C}"/>
            </c:ext>
          </c:extLst>
        </c:ser>
        <c:ser>
          <c:idx val="0"/>
          <c:order val="1"/>
          <c:tx>
            <c:strRef>
              <c:f>'business model (in Real terms)'!$A$100</c:f>
              <c:strCache>
                <c:ptCount val="1"/>
                <c:pt idx="0">
                  <c:v>variable cost of production</c:v>
                </c:pt>
              </c:strCache>
            </c:strRef>
          </c:tx>
          <c:spPr>
            <a:solidFill>
              <a:srgbClr val="FFFF99"/>
            </a:solidFill>
            <a:ln>
              <a:noFill/>
            </a:ln>
          </c:spPr>
          <c:invertIfNegative val="0"/>
          <c:cat>
            <c:numRef>
              <c:f>'business model (in Real terms)'!$D$60:$AY$60</c:f>
              <c:numCache>
                <c:formatCode>mmm\ yyyy</c:formatCode>
                <c:ptCount val="48"/>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pt idx="12">
                  <c:v>46485</c:v>
                </c:pt>
                <c:pt idx="13">
                  <c:v>46516</c:v>
                </c:pt>
                <c:pt idx="14">
                  <c:v>46547</c:v>
                </c:pt>
                <c:pt idx="15">
                  <c:v>46578</c:v>
                </c:pt>
                <c:pt idx="16">
                  <c:v>46609</c:v>
                </c:pt>
                <c:pt idx="17">
                  <c:v>46640</c:v>
                </c:pt>
                <c:pt idx="18">
                  <c:v>46671</c:v>
                </c:pt>
                <c:pt idx="19">
                  <c:v>46702</c:v>
                </c:pt>
                <c:pt idx="20">
                  <c:v>46733</c:v>
                </c:pt>
                <c:pt idx="21">
                  <c:v>46764</c:v>
                </c:pt>
                <c:pt idx="22">
                  <c:v>46795</c:v>
                </c:pt>
                <c:pt idx="23">
                  <c:v>46826</c:v>
                </c:pt>
                <c:pt idx="24">
                  <c:v>46857</c:v>
                </c:pt>
                <c:pt idx="25">
                  <c:v>46888</c:v>
                </c:pt>
                <c:pt idx="26">
                  <c:v>46919</c:v>
                </c:pt>
                <c:pt idx="27">
                  <c:v>46950</c:v>
                </c:pt>
                <c:pt idx="28">
                  <c:v>46981</c:v>
                </c:pt>
                <c:pt idx="29">
                  <c:v>47012</c:v>
                </c:pt>
                <c:pt idx="30">
                  <c:v>47043</c:v>
                </c:pt>
                <c:pt idx="31">
                  <c:v>47074</c:v>
                </c:pt>
                <c:pt idx="32">
                  <c:v>47105</c:v>
                </c:pt>
                <c:pt idx="33">
                  <c:v>47136</c:v>
                </c:pt>
                <c:pt idx="34">
                  <c:v>47167</c:v>
                </c:pt>
                <c:pt idx="35">
                  <c:v>47198</c:v>
                </c:pt>
                <c:pt idx="36">
                  <c:v>47229</c:v>
                </c:pt>
                <c:pt idx="37">
                  <c:v>47260</c:v>
                </c:pt>
                <c:pt idx="38">
                  <c:v>47291</c:v>
                </c:pt>
                <c:pt idx="39">
                  <c:v>47322</c:v>
                </c:pt>
                <c:pt idx="40">
                  <c:v>47353</c:v>
                </c:pt>
                <c:pt idx="41">
                  <c:v>47384</c:v>
                </c:pt>
                <c:pt idx="42">
                  <c:v>47415</c:v>
                </c:pt>
                <c:pt idx="43">
                  <c:v>47446</c:v>
                </c:pt>
                <c:pt idx="44">
                  <c:v>47477</c:v>
                </c:pt>
                <c:pt idx="45">
                  <c:v>47508</c:v>
                </c:pt>
                <c:pt idx="46">
                  <c:v>47539</c:v>
                </c:pt>
                <c:pt idx="47">
                  <c:v>47570</c:v>
                </c:pt>
              </c:numCache>
            </c:numRef>
          </c:cat>
          <c:val>
            <c:numRef>
              <c:f>'business model (in Real terms)'!$D$100:$AY$100</c:f>
              <c:numCache>
                <c:formatCode>#,##0</c:formatCode>
                <c:ptCount val="48"/>
                <c:pt idx="0">
                  <c:v>0</c:v>
                </c:pt>
                <c:pt idx="1">
                  <c:v>0</c:v>
                </c:pt>
                <c:pt idx="2">
                  <c:v>0</c:v>
                </c:pt>
                <c:pt idx="3">
                  <c:v>0</c:v>
                </c:pt>
                <c:pt idx="4">
                  <c:v>0</c:v>
                </c:pt>
                <c:pt idx="5">
                  <c:v>0</c:v>
                </c:pt>
                <c:pt idx="6">
                  <c:v>3913</c:v>
                </c:pt>
                <c:pt idx="7">
                  <c:v>3952.13</c:v>
                </c:pt>
                <c:pt idx="8">
                  <c:v>3991.6513</c:v>
                </c:pt>
                <c:pt idx="9">
                  <c:v>4031.5678130000006</c:v>
                </c:pt>
                <c:pt idx="10">
                  <c:v>4071.88349113</c:v>
                </c:pt>
                <c:pt idx="11">
                  <c:v>4112.6023260413003</c:v>
                </c:pt>
                <c:pt idx="12">
                  <c:v>4153.728349301713</c:v>
                </c:pt>
                <c:pt idx="13">
                  <c:v>4195.2656327947298</c:v>
                </c:pt>
                <c:pt idx="14">
                  <c:v>4237.2182891226776</c:v>
                </c:pt>
                <c:pt idx="15">
                  <c:v>4279.5904720139042</c:v>
                </c:pt>
                <c:pt idx="16">
                  <c:v>4322.3863767340426</c:v>
                </c:pt>
                <c:pt idx="17">
                  <c:v>4365.6102405013835</c:v>
                </c:pt>
                <c:pt idx="18">
                  <c:v>4409.2663429063969</c:v>
                </c:pt>
                <c:pt idx="19">
                  <c:v>4453.3590063354613</c:v>
                </c:pt>
                <c:pt idx="20">
                  <c:v>4497.8925963988158</c:v>
                </c:pt>
                <c:pt idx="21">
                  <c:v>4542.8715223628051</c:v>
                </c:pt>
                <c:pt idx="22">
                  <c:v>4588.3002375864326</c:v>
                </c:pt>
                <c:pt idx="23">
                  <c:v>4634.1832399622972</c:v>
                </c:pt>
                <c:pt idx="24">
                  <c:v>4680.5250723619201</c:v>
                </c:pt>
                <c:pt idx="25">
                  <c:v>4727.3303230855399</c:v>
                </c:pt>
                <c:pt idx="26">
                  <c:v>4774.6036263163951</c:v>
                </c:pt>
                <c:pt idx="27">
                  <c:v>4822.3496625795597</c:v>
                </c:pt>
                <c:pt idx="28">
                  <c:v>4870.5731592053544</c:v>
                </c:pt>
                <c:pt idx="29">
                  <c:v>4919.2788907974082</c:v>
                </c:pt>
                <c:pt idx="30">
                  <c:v>4968.4716797053825</c:v>
                </c:pt>
                <c:pt idx="31">
                  <c:v>5018.1563965024361</c:v>
                </c:pt>
                <c:pt idx="32">
                  <c:v>5068.3379604674601</c:v>
                </c:pt>
                <c:pt idx="33">
                  <c:v>5119.021340072135</c:v>
                </c:pt>
                <c:pt idx="34">
                  <c:v>5170.2115534728555</c:v>
                </c:pt>
                <c:pt idx="35">
                  <c:v>5221.9136690075848</c:v>
                </c:pt>
                <c:pt idx="36">
                  <c:v>5274.1328056976608</c:v>
                </c:pt>
                <c:pt idx="37">
                  <c:v>5326.874133754638</c:v>
                </c:pt>
                <c:pt idx="38">
                  <c:v>5380.142875092185</c:v>
                </c:pt>
                <c:pt idx="39">
                  <c:v>5433.9443038431064</c:v>
                </c:pt>
                <c:pt idx="40">
                  <c:v>5488.2837468815378</c:v>
                </c:pt>
                <c:pt idx="41">
                  <c:v>5543.1665843503524</c:v>
                </c:pt>
                <c:pt idx="42">
                  <c:v>5598.5982501938561</c:v>
                </c:pt>
                <c:pt idx="43">
                  <c:v>5654.5842326957954</c:v>
                </c:pt>
                <c:pt idx="44">
                  <c:v>5692.1562209529102</c:v>
                </c:pt>
                <c:pt idx="45">
                  <c:v>5692.1562209529102</c:v>
                </c:pt>
                <c:pt idx="46">
                  <c:v>5692.1562209529102</c:v>
                </c:pt>
                <c:pt idx="47">
                  <c:v>3794.7708139686069</c:v>
                </c:pt>
              </c:numCache>
            </c:numRef>
          </c:val>
          <c:extLst>
            <c:ext xmlns:c16="http://schemas.microsoft.com/office/drawing/2014/chart" uri="{C3380CC4-5D6E-409C-BE32-E72D297353CC}">
              <c16:uniqueId val="{00000000-9D80-4537-9BBE-AE3BAE18227C}"/>
            </c:ext>
          </c:extLst>
        </c:ser>
        <c:ser>
          <c:idx val="1"/>
          <c:order val="2"/>
          <c:tx>
            <c:strRef>
              <c:f>'business model (in Real terms)'!$A$116</c:f>
              <c:strCache>
                <c:ptCount val="1"/>
                <c:pt idx="0">
                  <c:v>working capital - increase/(decrease)</c:v>
                </c:pt>
              </c:strCache>
            </c:strRef>
          </c:tx>
          <c:spPr>
            <a:solidFill>
              <a:srgbClr val="FFCC99"/>
            </a:solidFill>
          </c:spPr>
          <c:invertIfNegative val="0"/>
          <c:dPt>
            <c:idx val="5"/>
            <c:invertIfNegative val="0"/>
            <c:bubble3D val="0"/>
            <c:spPr>
              <a:solidFill>
                <a:schemeClr val="accent6">
                  <a:lumMod val="75000"/>
                </a:schemeClr>
              </a:solidFill>
            </c:spPr>
            <c:extLst>
              <c:ext xmlns:c16="http://schemas.microsoft.com/office/drawing/2014/chart" uri="{C3380CC4-5D6E-409C-BE32-E72D297353CC}">
                <c16:uniqueId val="{00000002-5EF0-46AF-8245-6E93F3314D6F}"/>
              </c:ext>
            </c:extLst>
          </c:dPt>
          <c:dPt>
            <c:idx val="47"/>
            <c:invertIfNegative val="0"/>
            <c:bubble3D val="0"/>
            <c:spPr>
              <a:solidFill>
                <a:schemeClr val="accent6">
                  <a:lumMod val="75000"/>
                </a:schemeClr>
              </a:solidFill>
            </c:spPr>
            <c:extLst>
              <c:ext xmlns:c16="http://schemas.microsoft.com/office/drawing/2014/chart" uri="{C3380CC4-5D6E-409C-BE32-E72D297353CC}">
                <c16:uniqueId val="{00000001-5EF0-46AF-8245-6E93F3314D6F}"/>
              </c:ext>
            </c:extLst>
          </c:dPt>
          <c:val>
            <c:numRef>
              <c:f>'business model (in Real terms)'!$D$116:$AY$116</c:f>
              <c:numCache>
                <c:formatCode>#,##0_);[Red]\(#,##0\)</c:formatCode>
                <c:ptCount val="48"/>
                <c:pt idx="0">
                  <c:v>0</c:v>
                </c:pt>
                <c:pt idx="1">
                  <c:v>0</c:v>
                </c:pt>
                <c:pt idx="2">
                  <c:v>0</c:v>
                </c:pt>
                <c:pt idx="3">
                  <c:v>0</c:v>
                </c:pt>
                <c:pt idx="4">
                  <c:v>0</c:v>
                </c:pt>
                <c:pt idx="5">
                  <c:v>5000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-5000</c:v>
                </c:pt>
              </c:numCache>
            </c:numRef>
          </c:val>
          <c:extLst>
            <c:ext xmlns:c16="http://schemas.microsoft.com/office/drawing/2014/chart" uri="{C3380CC4-5D6E-409C-BE32-E72D297353CC}">
              <c16:uniqueId val="{00000000-EC91-469F-9CA3-C75AD2923E7B}"/>
            </c:ext>
          </c:extLst>
        </c:ser>
        <c:dLbls>
          <c:showLegendKey val="0"/>
          <c:showVal val="0"/>
          <c:showCatName val="0"/>
          <c:showSerName val="0"/>
          <c:showPercent val="0"/>
          <c:showBubbleSize val="0"/>
        </c:dLbls>
        <c:gapWidth val="0"/>
        <c:overlap val="100"/>
        <c:axId val="277113040"/>
        <c:axId val="277111472"/>
      </c:barChart>
      <c:dateAx>
        <c:axId val="277113040"/>
        <c:scaling>
          <c:orientation val="minMax"/>
        </c:scaling>
        <c:delete val="0"/>
        <c:axPos val="b"/>
        <c:numFmt formatCode="mmm\ yyyy" sourceLinked="1"/>
        <c:majorTickMark val="out"/>
        <c:minorTickMark val="none"/>
        <c:tickLblPos val="nextTo"/>
        <c:txPr>
          <a:bodyPr/>
          <a:lstStyle/>
          <a:p>
            <a:pPr>
              <a:defRPr sz="900" b="0"/>
            </a:pPr>
            <a:endParaRPr lang="en-US"/>
          </a:p>
        </c:txPr>
        <c:crossAx val="277111472"/>
        <c:crosses val="autoZero"/>
        <c:auto val="1"/>
        <c:lblOffset val="100"/>
        <c:baseTimeUnit val="months"/>
      </c:dateAx>
      <c:valAx>
        <c:axId val="277111472"/>
        <c:scaling>
          <c:orientation val="minMax"/>
        </c:scaling>
        <c:delete val="0"/>
        <c:axPos val="l"/>
        <c:majorGridlines/>
        <c:title>
          <c:tx>
            <c:rich>
              <a:bodyPr rot="-5400000" vert="horz"/>
              <a:lstStyle/>
              <a:p>
                <a:pPr>
                  <a:defRPr sz="1200" b="1"/>
                </a:pPr>
                <a:r>
                  <a:rPr lang="en-US" sz="1200" b="1"/>
                  <a:t>$ </a:t>
                </a:r>
              </a:p>
            </c:rich>
          </c:tx>
          <c:layout>
            <c:manualLayout>
              <c:xMode val="edge"/>
              <c:yMode val="edge"/>
              <c:x val="1.1611316423566003E-2"/>
              <c:y val="0.54303678463636773"/>
            </c:manualLayout>
          </c:layout>
          <c:overlay val="0"/>
        </c:title>
        <c:numFmt formatCode="#,##0" sourceLinked="1"/>
        <c:majorTickMark val="out"/>
        <c:minorTickMark val="none"/>
        <c:tickLblPos val="nextTo"/>
        <c:txPr>
          <a:bodyPr/>
          <a:lstStyle/>
          <a:p>
            <a:pPr algn="ctr">
              <a:defRPr lang="en-AU" sz="1000" b="0" i="0" u="none" strike="noStrike" kern="1200" baseline="0">
                <a:solidFill>
                  <a:schemeClr val="tx1"/>
                </a:solidFill>
                <a:latin typeface="+mn-lt"/>
                <a:ea typeface="+mn-ea"/>
                <a:cs typeface="+mn-cs"/>
              </a:defRPr>
            </a:pPr>
            <a:endParaRPr lang="en-US"/>
          </a:p>
        </c:txPr>
        <c:crossAx val="277113040"/>
        <c:crosses val="autoZero"/>
        <c:crossBetween val="between"/>
      </c:valAx>
    </c:plotArea>
    <c:legend>
      <c:legendPos val="r"/>
      <c:layout>
        <c:manualLayout>
          <c:xMode val="edge"/>
          <c:yMode val="edge"/>
          <c:x val="0.69908923476676899"/>
          <c:y val="0.16100140731245671"/>
          <c:w val="0.2941939506463071"/>
          <c:h val="0.64326491784534146"/>
        </c:manualLayout>
      </c:layout>
      <c:overlay val="0"/>
      <c:txPr>
        <a:bodyPr/>
        <a:lstStyle/>
        <a:p>
          <a:pPr>
            <a:defRPr sz="1000" b="1"/>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Capital Expenditure</a:t>
            </a:r>
          </a:p>
        </c:rich>
      </c:tx>
      <c:layout>
        <c:manualLayout>
          <c:xMode val="edge"/>
          <c:yMode val="edge"/>
          <c:x val="0.13055659093536318"/>
          <c:y val="4.8538247100383359E-3"/>
        </c:manualLayout>
      </c:layout>
      <c:overlay val="1"/>
    </c:title>
    <c:autoTitleDeleted val="0"/>
    <c:plotArea>
      <c:layout>
        <c:manualLayout>
          <c:layoutTarget val="inner"/>
          <c:xMode val="edge"/>
          <c:yMode val="edge"/>
          <c:x val="0.12881405786655792"/>
          <c:y val="0.17417662668199532"/>
          <c:w val="0.85610337918251667"/>
          <c:h val="0.50104379626068585"/>
        </c:manualLayout>
      </c:layout>
      <c:barChart>
        <c:barDir val="col"/>
        <c:grouping val="stacked"/>
        <c:varyColors val="0"/>
        <c:ser>
          <c:idx val="2"/>
          <c:order val="0"/>
          <c:tx>
            <c:strRef>
              <c:f>'business model (in Real terms)'!$A$82</c:f>
              <c:strCache>
                <c:ptCount val="1"/>
                <c:pt idx="0">
                  <c:v>Cashstream 2: Capital Costs</c:v>
                </c:pt>
              </c:strCache>
            </c:strRef>
          </c:tx>
          <c:spPr>
            <a:solidFill>
              <a:srgbClr val="3399FF"/>
            </a:solidFill>
            <a:ln>
              <a:solidFill>
                <a:srgbClr val="00B0F0"/>
              </a:solidFill>
            </a:ln>
          </c:spPr>
          <c:invertIfNegative val="0"/>
          <c:dPt>
            <c:idx val="0"/>
            <c:invertIfNegative val="0"/>
            <c:bubble3D val="0"/>
            <c:spPr>
              <a:solidFill>
                <a:srgbClr val="3399FF"/>
              </a:solidFill>
              <a:ln>
                <a:solidFill>
                  <a:srgbClr val="3399FF"/>
                </a:solidFill>
              </a:ln>
            </c:spPr>
            <c:extLst>
              <c:ext xmlns:c16="http://schemas.microsoft.com/office/drawing/2014/chart" uri="{C3380CC4-5D6E-409C-BE32-E72D297353CC}">
                <c16:uniqueId val="{00000002-0EA9-4C5E-A942-334905F5A46B}"/>
              </c:ext>
            </c:extLst>
          </c:dPt>
          <c:cat>
            <c:numRef>
              <c:f>'business model (in Real terms)'!$D$60:$AY$60</c:f>
              <c:numCache>
                <c:formatCode>mmm\ yyyy</c:formatCode>
                <c:ptCount val="48"/>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pt idx="12">
                  <c:v>46485</c:v>
                </c:pt>
                <c:pt idx="13">
                  <c:v>46516</c:v>
                </c:pt>
                <c:pt idx="14">
                  <c:v>46547</c:v>
                </c:pt>
                <c:pt idx="15">
                  <c:v>46578</c:v>
                </c:pt>
                <c:pt idx="16">
                  <c:v>46609</c:v>
                </c:pt>
                <c:pt idx="17">
                  <c:v>46640</c:v>
                </c:pt>
                <c:pt idx="18">
                  <c:v>46671</c:v>
                </c:pt>
                <c:pt idx="19">
                  <c:v>46702</c:v>
                </c:pt>
                <c:pt idx="20">
                  <c:v>46733</c:v>
                </c:pt>
                <c:pt idx="21">
                  <c:v>46764</c:v>
                </c:pt>
                <c:pt idx="22">
                  <c:v>46795</c:v>
                </c:pt>
                <c:pt idx="23">
                  <c:v>46826</c:v>
                </c:pt>
                <c:pt idx="24">
                  <c:v>46857</c:v>
                </c:pt>
                <c:pt idx="25">
                  <c:v>46888</c:v>
                </c:pt>
                <c:pt idx="26">
                  <c:v>46919</c:v>
                </c:pt>
                <c:pt idx="27">
                  <c:v>46950</c:v>
                </c:pt>
                <c:pt idx="28">
                  <c:v>46981</c:v>
                </c:pt>
                <c:pt idx="29">
                  <c:v>47012</c:v>
                </c:pt>
                <c:pt idx="30">
                  <c:v>47043</c:v>
                </c:pt>
                <c:pt idx="31">
                  <c:v>47074</c:v>
                </c:pt>
                <c:pt idx="32">
                  <c:v>47105</c:v>
                </c:pt>
                <c:pt idx="33">
                  <c:v>47136</c:v>
                </c:pt>
                <c:pt idx="34">
                  <c:v>47167</c:v>
                </c:pt>
                <c:pt idx="35">
                  <c:v>47198</c:v>
                </c:pt>
                <c:pt idx="36">
                  <c:v>47229</c:v>
                </c:pt>
                <c:pt idx="37">
                  <c:v>47260</c:v>
                </c:pt>
                <c:pt idx="38">
                  <c:v>47291</c:v>
                </c:pt>
                <c:pt idx="39">
                  <c:v>47322</c:v>
                </c:pt>
                <c:pt idx="40">
                  <c:v>47353</c:v>
                </c:pt>
                <c:pt idx="41">
                  <c:v>47384</c:v>
                </c:pt>
                <c:pt idx="42">
                  <c:v>47415</c:v>
                </c:pt>
                <c:pt idx="43">
                  <c:v>47446</c:v>
                </c:pt>
                <c:pt idx="44">
                  <c:v>47477</c:v>
                </c:pt>
                <c:pt idx="45">
                  <c:v>47508</c:v>
                </c:pt>
                <c:pt idx="46">
                  <c:v>47539</c:v>
                </c:pt>
                <c:pt idx="47">
                  <c:v>47570</c:v>
                </c:pt>
              </c:numCache>
            </c:numRef>
          </c:cat>
          <c:val>
            <c:numRef>
              <c:f>'business model (in Real terms)'!$D$82:$AY$82</c:f>
              <c:numCache>
                <c:formatCode>#,##0_);[Red]\(#,##0\)</c:formatCode>
                <c:ptCount val="48"/>
                <c:pt idx="0">
                  <c:v>0</c:v>
                </c:pt>
                <c:pt idx="1">
                  <c:v>10000</c:v>
                </c:pt>
                <c:pt idx="2">
                  <c:v>18000</c:v>
                </c:pt>
                <c:pt idx="3">
                  <c:v>26000</c:v>
                </c:pt>
                <c:pt idx="4">
                  <c:v>12000</c:v>
                </c:pt>
                <c:pt idx="5">
                  <c:v>18000</c:v>
                </c:pt>
                <c:pt idx="6">
                  <c:v>0</c:v>
                </c:pt>
                <c:pt idx="7">
                  <c:v>1000</c:v>
                </c:pt>
                <c:pt idx="8">
                  <c:v>1000</c:v>
                </c:pt>
                <c:pt idx="9">
                  <c:v>1000</c:v>
                </c:pt>
                <c:pt idx="10">
                  <c:v>1000</c:v>
                </c:pt>
                <c:pt idx="11">
                  <c:v>1000</c:v>
                </c:pt>
                <c:pt idx="12">
                  <c:v>1000</c:v>
                </c:pt>
                <c:pt idx="13">
                  <c:v>1000</c:v>
                </c:pt>
                <c:pt idx="14">
                  <c:v>1000</c:v>
                </c:pt>
                <c:pt idx="15">
                  <c:v>1000</c:v>
                </c:pt>
                <c:pt idx="16">
                  <c:v>1000</c:v>
                </c:pt>
                <c:pt idx="17">
                  <c:v>1000</c:v>
                </c:pt>
                <c:pt idx="18">
                  <c:v>1000</c:v>
                </c:pt>
                <c:pt idx="19">
                  <c:v>1000</c:v>
                </c:pt>
                <c:pt idx="20">
                  <c:v>1000</c:v>
                </c:pt>
                <c:pt idx="21">
                  <c:v>1000</c:v>
                </c:pt>
                <c:pt idx="22">
                  <c:v>1000</c:v>
                </c:pt>
                <c:pt idx="23">
                  <c:v>1000</c:v>
                </c:pt>
                <c:pt idx="24">
                  <c:v>1000</c:v>
                </c:pt>
                <c:pt idx="25">
                  <c:v>1000</c:v>
                </c:pt>
                <c:pt idx="26">
                  <c:v>1000</c:v>
                </c:pt>
                <c:pt idx="27">
                  <c:v>1000</c:v>
                </c:pt>
                <c:pt idx="28">
                  <c:v>1000</c:v>
                </c:pt>
                <c:pt idx="29">
                  <c:v>1000</c:v>
                </c:pt>
                <c:pt idx="30">
                  <c:v>1000</c:v>
                </c:pt>
                <c:pt idx="31">
                  <c:v>1000</c:v>
                </c:pt>
                <c:pt idx="32">
                  <c:v>1000</c:v>
                </c:pt>
                <c:pt idx="33">
                  <c:v>1000</c:v>
                </c:pt>
                <c:pt idx="34">
                  <c:v>1000</c:v>
                </c:pt>
                <c:pt idx="35">
                  <c:v>1000</c:v>
                </c:pt>
                <c:pt idx="36">
                  <c:v>1000</c:v>
                </c:pt>
                <c:pt idx="37">
                  <c:v>1000</c:v>
                </c:pt>
                <c:pt idx="38">
                  <c:v>1000</c:v>
                </c:pt>
                <c:pt idx="39">
                  <c:v>1000</c:v>
                </c:pt>
                <c:pt idx="40">
                  <c:v>1000</c:v>
                </c:pt>
                <c:pt idx="41">
                  <c:v>1000</c:v>
                </c:pt>
                <c:pt idx="42">
                  <c:v>1000</c:v>
                </c:pt>
                <c:pt idx="43">
                  <c:v>1000</c:v>
                </c:pt>
                <c:pt idx="44">
                  <c:v>1000</c:v>
                </c:pt>
                <c:pt idx="45">
                  <c:v>1000</c:v>
                </c:pt>
                <c:pt idx="46">
                  <c:v>0</c:v>
                </c:pt>
                <c:pt idx="47">
                  <c:v>0</c:v>
                </c:pt>
              </c:numCache>
            </c:numRef>
          </c:val>
          <c:extLst>
            <c:ext xmlns:c16="http://schemas.microsoft.com/office/drawing/2014/chart" uri="{C3380CC4-5D6E-409C-BE32-E72D297353CC}">
              <c16:uniqueId val="{00000001-0EA9-4C5E-A942-334905F5A46B}"/>
            </c:ext>
          </c:extLst>
        </c:ser>
        <c:dLbls>
          <c:showLegendKey val="0"/>
          <c:showVal val="0"/>
          <c:showCatName val="0"/>
          <c:showSerName val="0"/>
          <c:showPercent val="0"/>
          <c:showBubbleSize val="0"/>
        </c:dLbls>
        <c:gapWidth val="0"/>
        <c:overlap val="100"/>
        <c:axId val="277108336"/>
        <c:axId val="277109512"/>
      </c:barChart>
      <c:dateAx>
        <c:axId val="277108336"/>
        <c:scaling>
          <c:orientation val="minMax"/>
        </c:scaling>
        <c:delete val="0"/>
        <c:axPos val="b"/>
        <c:numFmt formatCode="mmm\ yyyy" sourceLinked="1"/>
        <c:majorTickMark val="out"/>
        <c:minorTickMark val="none"/>
        <c:tickLblPos val="nextTo"/>
        <c:txPr>
          <a:bodyPr/>
          <a:lstStyle/>
          <a:p>
            <a:pPr>
              <a:defRPr sz="900" b="0"/>
            </a:pPr>
            <a:endParaRPr lang="en-US"/>
          </a:p>
        </c:txPr>
        <c:crossAx val="277109512"/>
        <c:crosses val="autoZero"/>
        <c:auto val="1"/>
        <c:lblOffset val="100"/>
        <c:baseTimeUnit val="months"/>
      </c:dateAx>
      <c:valAx>
        <c:axId val="277109512"/>
        <c:scaling>
          <c:orientation val="minMax"/>
        </c:scaling>
        <c:delete val="0"/>
        <c:axPos val="l"/>
        <c:majorGridlines/>
        <c:title>
          <c:tx>
            <c:rich>
              <a:bodyPr rot="-5400000" vert="horz"/>
              <a:lstStyle/>
              <a:p>
                <a:pPr>
                  <a:defRPr sz="1400" b="1"/>
                </a:pPr>
                <a:r>
                  <a:rPr lang="en-US" sz="1400" b="1"/>
                  <a:t>$</a:t>
                </a:r>
              </a:p>
            </c:rich>
          </c:tx>
          <c:layout>
            <c:manualLayout>
              <c:xMode val="edge"/>
              <c:yMode val="edge"/>
              <c:x val="5.2593919202939744E-2"/>
              <c:y val="4.9784201139382006E-2"/>
            </c:manualLayout>
          </c:layout>
          <c:overlay val="0"/>
        </c:title>
        <c:numFmt formatCode="#,##0_);[Red]\(#,##0\)" sourceLinked="1"/>
        <c:majorTickMark val="out"/>
        <c:minorTickMark val="none"/>
        <c:tickLblPos val="nextTo"/>
        <c:txPr>
          <a:bodyPr/>
          <a:lstStyle/>
          <a:p>
            <a:pPr>
              <a:defRPr sz="1000" b="0"/>
            </a:pPr>
            <a:endParaRPr lang="en-US"/>
          </a:p>
        </c:txPr>
        <c:crossAx val="277108336"/>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Taxes</a:t>
            </a:r>
          </a:p>
        </c:rich>
      </c:tx>
      <c:layout>
        <c:manualLayout>
          <c:xMode val="edge"/>
          <c:yMode val="edge"/>
          <c:x val="0.16183907451408733"/>
          <c:y val="9.3944855014754955E-2"/>
        </c:manualLayout>
      </c:layout>
      <c:overlay val="1"/>
    </c:title>
    <c:autoTitleDeleted val="0"/>
    <c:plotArea>
      <c:layout>
        <c:manualLayout>
          <c:layoutTarget val="inner"/>
          <c:xMode val="edge"/>
          <c:yMode val="edge"/>
          <c:x val="0.1102598674487263"/>
          <c:y val="5.7231964686955239E-2"/>
          <c:w val="0.6169426264172222"/>
          <c:h val="0.87326001282621013"/>
        </c:manualLayout>
      </c:layout>
      <c:barChart>
        <c:barDir val="col"/>
        <c:grouping val="stacked"/>
        <c:varyColors val="0"/>
        <c:ser>
          <c:idx val="1"/>
          <c:order val="0"/>
          <c:tx>
            <c:strRef>
              <c:f>'business model (in Real terms)'!$A$156</c:f>
              <c:strCache>
                <c:ptCount val="1"/>
                <c:pt idx="0">
                  <c:v>Income Tax - paid</c:v>
                </c:pt>
              </c:strCache>
            </c:strRef>
          </c:tx>
          <c:spPr>
            <a:solidFill>
              <a:srgbClr val="FF99CC"/>
            </a:solidFill>
          </c:spPr>
          <c:invertIfNegative val="0"/>
          <c:cat>
            <c:numRef>
              <c:f>'business model (in Real terms)'!$D$60:$AY$60</c:f>
              <c:numCache>
                <c:formatCode>mmm\ yyyy</c:formatCode>
                <c:ptCount val="48"/>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pt idx="12">
                  <c:v>46485</c:v>
                </c:pt>
                <c:pt idx="13">
                  <c:v>46516</c:v>
                </c:pt>
                <c:pt idx="14">
                  <c:v>46547</c:v>
                </c:pt>
                <c:pt idx="15">
                  <c:v>46578</c:v>
                </c:pt>
                <c:pt idx="16">
                  <c:v>46609</c:v>
                </c:pt>
                <c:pt idx="17">
                  <c:v>46640</c:v>
                </c:pt>
                <c:pt idx="18">
                  <c:v>46671</c:v>
                </c:pt>
                <c:pt idx="19">
                  <c:v>46702</c:v>
                </c:pt>
                <c:pt idx="20">
                  <c:v>46733</c:v>
                </c:pt>
                <c:pt idx="21">
                  <c:v>46764</c:v>
                </c:pt>
                <c:pt idx="22">
                  <c:v>46795</c:v>
                </c:pt>
                <c:pt idx="23">
                  <c:v>46826</c:v>
                </c:pt>
                <c:pt idx="24">
                  <c:v>46857</c:v>
                </c:pt>
                <c:pt idx="25">
                  <c:v>46888</c:v>
                </c:pt>
                <c:pt idx="26">
                  <c:v>46919</c:v>
                </c:pt>
                <c:pt idx="27">
                  <c:v>46950</c:v>
                </c:pt>
                <c:pt idx="28">
                  <c:v>46981</c:v>
                </c:pt>
                <c:pt idx="29">
                  <c:v>47012</c:v>
                </c:pt>
                <c:pt idx="30">
                  <c:v>47043</c:v>
                </c:pt>
                <c:pt idx="31">
                  <c:v>47074</c:v>
                </c:pt>
                <c:pt idx="32">
                  <c:v>47105</c:v>
                </c:pt>
                <c:pt idx="33">
                  <c:v>47136</c:v>
                </c:pt>
                <c:pt idx="34">
                  <c:v>47167</c:v>
                </c:pt>
                <c:pt idx="35">
                  <c:v>47198</c:v>
                </c:pt>
                <c:pt idx="36">
                  <c:v>47229</c:v>
                </c:pt>
                <c:pt idx="37">
                  <c:v>47260</c:v>
                </c:pt>
                <c:pt idx="38">
                  <c:v>47291</c:v>
                </c:pt>
                <c:pt idx="39">
                  <c:v>47322</c:v>
                </c:pt>
                <c:pt idx="40">
                  <c:v>47353</c:v>
                </c:pt>
                <c:pt idx="41">
                  <c:v>47384</c:v>
                </c:pt>
                <c:pt idx="42">
                  <c:v>47415</c:v>
                </c:pt>
                <c:pt idx="43">
                  <c:v>47446</c:v>
                </c:pt>
                <c:pt idx="44">
                  <c:v>47477</c:v>
                </c:pt>
                <c:pt idx="45">
                  <c:v>47508</c:v>
                </c:pt>
                <c:pt idx="46">
                  <c:v>47539</c:v>
                </c:pt>
                <c:pt idx="47">
                  <c:v>47570</c:v>
                </c:pt>
              </c:numCache>
            </c:numRef>
          </c:cat>
          <c:val>
            <c:numRef>
              <c:f>'business model (in Real terms)'!$D$156:$AY$156</c:f>
              <c:numCache>
                <c:formatCode>#,##0_);[Red]\(#,##0\)</c:formatCode>
                <c:ptCount val="48"/>
                <c:pt idx="0">
                  <c:v>0</c:v>
                </c:pt>
                <c:pt idx="1">
                  <c:v>0</c:v>
                </c:pt>
                <c:pt idx="2">
                  <c:v>0</c:v>
                </c:pt>
                <c:pt idx="3">
                  <c:v>0</c:v>
                </c:pt>
                <c:pt idx="4">
                  <c:v>0</c:v>
                </c:pt>
                <c:pt idx="5">
                  <c:v>0</c:v>
                </c:pt>
                <c:pt idx="6">
                  <c:v>522.52284131437875</c:v>
                </c:pt>
                <c:pt idx="7">
                  <c:v>1524.3525544423137</c:v>
                </c:pt>
                <c:pt idx="8">
                  <c:v>1533.9358829482508</c:v>
                </c:pt>
                <c:pt idx="9">
                  <c:v>1543.4361329908484</c:v>
                </c:pt>
                <c:pt idx="10">
                  <c:v>1552.854213823842</c:v>
                </c:pt>
                <c:pt idx="11">
                  <c:v>1562.1909977056191</c:v>
                </c:pt>
                <c:pt idx="12">
                  <c:v>1571.4473204407384</c:v>
                </c:pt>
                <c:pt idx="13">
                  <c:v>1580.6239819076327</c:v>
                </c:pt>
                <c:pt idx="14">
                  <c:v>1589.7217465727567</c:v>
                </c:pt>
                <c:pt idx="15">
                  <c:v>1598.7413439914383</c:v>
                </c:pt>
                <c:pt idx="16">
                  <c:v>1607.6834692956818</c:v>
                </c:pt>
                <c:pt idx="17">
                  <c:v>1616.5487836691664</c:v>
                </c:pt>
                <c:pt idx="18">
                  <c:v>1625.3379148096808</c:v>
                </c:pt>
                <c:pt idx="19">
                  <c:v>1634.0514573792304</c:v>
                </c:pt>
                <c:pt idx="20">
                  <c:v>1642.6899734420354</c:v>
                </c:pt>
                <c:pt idx="21">
                  <c:v>1651.2539928906583</c:v>
                </c:pt>
                <c:pt idx="22">
                  <c:v>1659.7440138604672</c:v>
                </c:pt>
                <c:pt idx="23">
                  <c:v>1668.1605031326555</c:v>
                </c:pt>
                <c:pt idx="24">
                  <c:v>1676.5038965260246</c:v>
                </c:pt>
                <c:pt idx="25">
                  <c:v>1684.7745992777318</c:v>
                </c:pt>
                <c:pt idx="26">
                  <c:v>1692.9729864132112</c:v>
                </c:pt>
                <c:pt idx="27">
                  <c:v>1701.0994031054536</c:v>
                </c:pt>
                <c:pt idx="28">
                  <c:v>1709.1541650238414</c:v>
                </c:pt>
                <c:pt idx="29">
                  <c:v>1717.1375586727236</c:v>
                </c:pt>
                <c:pt idx="30">
                  <c:v>1725.0498417199187</c:v>
                </c:pt>
                <c:pt idx="31">
                  <c:v>1732.8912433153109</c:v>
                </c:pt>
                <c:pt idx="32">
                  <c:v>1740.661964399731</c:v>
                </c:pt>
                <c:pt idx="33">
                  <c:v>1748.362178004279</c:v>
                </c:pt>
                <c:pt idx="34">
                  <c:v>1755.9920295402608</c:v>
                </c:pt>
                <c:pt idx="35">
                  <c:v>1763.5516370799005</c:v>
                </c:pt>
                <c:pt idx="36">
                  <c:v>1771.0410916279902</c:v>
                </c:pt>
                <c:pt idx="37">
                  <c:v>1778.4604573846254</c:v>
                </c:pt>
                <c:pt idx="38">
                  <c:v>1785.8097719991824</c:v>
                </c:pt>
                <c:pt idx="39">
                  <c:v>1793.089046815694</c:v>
                </c:pt>
                <c:pt idx="40">
                  <c:v>1800.2982671097493</c:v>
                </c:pt>
                <c:pt idx="41">
                  <c:v>1807.4373923170765</c:v>
                </c:pt>
                <c:pt idx="42">
                  <c:v>1814.5063562539403</c:v>
                </c:pt>
                <c:pt idx="43">
                  <c:v>1821.5050673294832</c:v>
                </c:pt>
                <c:pt idx="44">
                  <c:v>1832.7456483114852</c:v>
                </c:pt>
                <c:pt idx="45">
                  <c:v>1834.2612061153668</c:v>
                </c:pt>
                <c:pt idx="46">
                  <c:v>1818.2262504043947</c:v>
                </c:pt>
                <c:pt idx="47">
                  <c:v>2256.0031002823184</c:v>
                </c:pt>
              </c:numCache>
            </c:numRef>
          </c:val>
          <c:extLst>
            <c:ext xmlns:c16="http://schemas.microsoft.com/office/drawing/2014/chart" uri="{C3380CC4-5D6E-409C-BE32-E72D297353CC}">
              <c16:uniqueId val="{00000000-0EEF-4C52-AB5C-115EDC575C3C}"/>
            </c:ext>
          </c:extLst>
        </c:ser>
        <c:ser>
          <c:idx val="0"/>
          <c:order val="1"/>
          <c:tx>
            <c:strRef>
              <c:f>'business model (in Real terms)'!$A$130</c:f>
              <c:strCache>
                <c:ptCount val="1"/>
                <c:pt idx="0">
                  <c:v>VAT - net paid/(net refunded)</c:v>
                </c:pt>
              </c:strCache>
            </c:strRef>
          </c:tx>
          <c:spPr>
            <a:solidFill>
              <a:srgbClr val="FF3399"/>
            </a:solidFill>
          </c:spPr>
          <c:invertIfNegative val="0"/>
          <c:val>
            <c:numRef>
              <c:f>'business model (in Real terms)'!$D$130:$AY$130</c:f>
              <c:numCache>
                <c:formatCode>#,##0_);[Red]\(#,##0\)</c:formatCode>
                <c:ptCount val="48"/>
                <c:pt idx="0">
                  <c:v>-110.00000000000004</c:v>
                </c:pt>
                <c:pt idx="1">
                  <c:v>-1019.0909090909095</c:v>
                </c:pt>
                <c:pt idx="2">
                  <c:v>-1746.3636363636369</c:v>
                </c:pt>
                <c:pt idx="3">
                  <c:v>-2473.6363636363644</c:v>
                </c:pt>
                <c:pt idx="4">
                  <c:v>-1200.9090909090912</c:v>
                </c:pt>
                <c:pt idx="5">
                  <c:v>-1746.3636363636369</c:v>
                </c:pt>
                <c:pt idx="6">
                  <c:v>761.54545454545485</c:v>
                </c:pt>
                <c:pt idx="7">
                  <c:v>673.154090909091</c:v>
                </c:pt>
                <c:pt idx="8">
                  <c:v>675.66631670454558</c:v>
                </c:pt>
                <c:pt idx="9">
                  <c:v>678.1728341481421</c:v>
                </c:pt>
                <c:pt idx="10">
                  <c:v>680.67343354484376</c:v>
                </c:pt>
                <c:pt idx="11">
                  <c:v>683.16790234723555</c:v>
                </c:pt>
                <c:pt idx="12">
                  <c:v>685.65602512326279</c:v>
                </c:pt>
                <c:pt idx="13">
                  <c:v>688.13758352362527</c:v>
                </c:pt>
                <c:pt idx="14">
                  <c:v>690.61235624882966</c:v>
                </c:pt>
                <c:pt idx="15">
                  <c:v>693.08011901589146</c:v>
                </c:pt>
                <c:pt idx="16">
                  <c:v>695.54064452468629</c:v>
                </c:pt>
                <c:pt idx="17">
                  <c:v>697.99370242394662</c:v>
                </c:pt>
                <c:pt idx="18">
                  <c:v>700.4390592768965</c:v>
                </c:pt>
                <c:pt idx="19">
                  <c:v>702.87647852652833</c:v>
                </c:pt>
                <c:pt idx="20">
                  <c:v>705.30572046050804</c:v>
                </c:pt>
                <c:pt idx="21">
                  <c:v>707.72654217571346</c:v>
                </c:pt>
                <c:pt idx="22">
                  <c:v>710.13869754239863</c:v>
                </c:pt>
                <c:pt idx="23">
                  <c:v>712.54193716797795</c:v>
                </c:pt>
                <c:pt idx="24">
                  <c:v>714.9360083604314</c:v>
                </c:pt>
                <c:pt idx="25">
                  <c:v>717.32065509132212</c:v>
                </c:pt>
                <c:pt idx="26">
                  <c:v>719.69561795842594</c:v>
                </c:pt>
                <c:pt idx="27">
                  <c:v>722.06063414796574</c:v>
                </c:pt>
                <c:pt idx="28">
                  <c:v>724.41543739645033</c:v>
                </c:pt>
                <c:pt idx="29">
                  <c:v>726.75975795210911</c:v>
                </c:pt>
                <c:pt idx="30">
                  <c:v>729.09332253592436</c:v>
                </c:pt>
                <c:pt idx="31">
                  <c:v>731.4158543022487</c:v>
                </c:pt>
                <c:pt idx="32">
                  <c:v>733.72707279901419</c:v>
                </c:pt>
                <c:pt idx="33">
                  <c:v>736.02669392751841</c:v>
                </c:pt>
                <c:pt idx="34">
                  <c:v>738.31442990179016</c:v>
                </c:pt>
                <c:pt idx="35">
                  <c:v>740.58998920752776</c:v>
                </c:pt>
                <c:pt idx="36">
                  <c:v>742.8530765606057</c:v>
                </c:pt>
                <c:pt idx="37">
                  <c:v>745.10339286514727</c:v>
                </c:pt>
                <c:pt idx="38">
                  <c:v>747.34063517115135</c:v>
                </c:pt>
                <c:pt idx="39">
                  <c:v>749.5644966316836</c:v>
                </c:pt>
                <c:pt idx="40">
                  <c:v>751.77466645960953</c:v>
                </c:pt>
                <c:pt idx="41">
                  <c:v>753.97082988388001</c:v>
                </c:pt>
                <c:pt idx="42">
                  <c:v>756.15266810535354</c:v>
                </c:pt>
                <c:pt idx="43">
                  <c:v>758.31985825215884</c:v>
                </c:pt>
                <c:pt idx="44">
                  <c:v>762.19696915911868</c:v>
                </c:pt>
                <c:pt idx="45">
                  <c:v>762.19696915911868</c:v>
                </c:pt>
                <c:pt idx="46">
                  <c:v>853.10606006820956</c:v>
                </c:pt>
                <c:pt idx="47">
                  <c:v>1025.595642521328</c:v>
                </c:pt>
              </c:numCache>
            </c:numRef>
          </c:val>
          <c:extLst>
            <c:ext xmlns:c16="http://schemas.microsoft.com/office/drawing/2014/chart" uri="{C3380CC4-5D6E-409C-BE32-E72D297353CC}">
              <c16:uniqueId val="{00000000-63A6-4EAB-91E5-C66C252BE4EE}"/>
            </c:ext>
          </c:extLst>
        </c:ser>
        <c:dLbls>
          <c:showLegendKey val="0"/>
          <c:showVal val="0"/>
          <c:showCatName val="0"/>
          <c:showSerName val="0"/>
          <c:showPercent val="0"/>
          <c:showBubbleSize val="0"/>
        </c:dLbls>
        <c:gapWidth val="0"/>
        <c:overlap val="100"/>
        <c:axId val="277112648"/>
        <c:axId val="277109120"/>
      </c:barChart>
      <c:dateAx>
        <c:axId val="277112648"/>
        <c:scaling>
          <c:orientation val="minMax"/>
        </c:scaling>
        <c:delete val="0"/>
        <c:axPos val="b"/>
        <c:numFmt formatCode="mmm\ yyyy" sourceLinked="1"/>
        <c:majorTickMark val="out"/>
        <c:minorTickMark val="none"/>
        <c:tickLblPos val="nextTo"/>
        <c:txPr>
          <a:bodyPr/>
          <a:lstStyle/>
          <a:p>
            <a:pPr algn="ctr">
              <a:defRPr lang="en-AU" sz="900" b="0" i="0" u="none" strike="noStrike" kern="1200" baseline="0">
                <a:solidFill>
                  <a:schemeClr val="tx1"/>
                </a:solidFill>
                <a:latin typeface="+mn-lt"/>
                <a:ea typeface="+mn-ea"/>
                <a:cs typeface="+mn-cs"/>
              </a:defRPr>
            </a:pPr>
            <a:endParaRPr lang="en-US"/>
          </a:p>
        </c:txPr>
        <c:crossAx val="277109120"/>
        <c:crosses val="autoZero"/>
        <c:auto val="1"/>
        <c:lblOffset val="100"/>
        <c:baseTimeUnit val="months"/>
      </c:dateAx>
      <c:valAx>
        <c:axId val="277109120"/>
        <c:scaling>
          <c:orientation val="minMax"/>
        </c:scaling>
        <c:delete val="0"/>
        <c:axPos val="l"/>
        <c:majorGridlines/>
        <c:title>
          <c:tx>
            <c:rich>
              <a:bodyPr rot="-5400000" vert="horz"/>
              <a:lstStyle/>
              <a:p>
                <a:pPr>
                  <a:defRPr sz="1200" b="1"/>
                </a:pPr>
                <a:r>
                  <a:rPr lang="en-US" sz="1200" b="1"/>
                  <a:t>$ </a:t>
                </a:r>
              </a:p>
            </c:rich>
          </c:tx>
          <c:layout>
            <c:manualLayout>
              <c:xMode val="edge"/>
              <c:yMode val="edge"/>
              <c:x val="2.3562716406595657E-2"/>
              <c:y val="0.52903845045027864"/>
            </c:manualLayout>
          </c:layout>
          <c:overlay val="0"/>
        </c:title>
        <c:numFmt formatCode="#,##0_);[Red]\(#,##0\)" sourceLinked="1"/>
        <c:majorTickMark val="out"/>
        <c:minorTickMark val="none"/>
        <c:tickLblPos val="nextTo"/>
        <c:txPr>
          <a:bodyPr/>
          <a:lstStyle/>
          <a:p>
            <a:pPr>
              <a:defRPr sz="1000" b="0"/>
            </a:pPr>
            <a:endParaRPr lang="en-US"/>
          </a:p>
        </c:txPr>
        <c:crossAx val="277112648"/>
        <c:crosses val="autoZero"/>
        <c:crossBetween val="between"/>
      </c:valAx>
    </c:plotArea>
    <c:legend>
      <c:legendPos val="r"/>
      <c:layout>
        <c:manualLayout>
          <c:xMode val="edge"/>
          <c:yMode val="edge"/>
          <c:x val="0.73690859294762079"/>
          <c:y val="0.12986777294946952"/>
          <c:w val="0.24394345208127757"/>
          <c:h val="0.53656117238420764"/>
        </c:manualLayout>
      </c:layout>
      <c:overlay val="0"/>
      <c:txPr>
        <a:bodyPr/>
        <a:lstStyle/>
        <a:p>
          <a:pPr>
            <a:defRPr sz="1000" b="0"/>
          </a:pPr>
          <a:endParaRPr lang="en-US"/>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Revenue</a:t>
            </a:r>
          </a:p>
        </c:rich>
      </c:tx>
      <c:layout>
        <c:manualLayout>
          <c:xMode val="edge"/>
          <c:yMode val="edge"/>
          <c:x val="0.20882498478213915"/>
          <c:y val="3.219961803140365E-2"/>
        </c:manualLayout>
      </c:layout>
      <c:overlay val="1"/>
    </c:title>
    <c:autoTitleDeleted val="0"/>
    <c:plotArea>
      <c:layout>
        <c:manualLayout>
          <c:layoutTarget val="inner"/>
          <c:xMode val="edge"/>
          <c:yMode val="edge"/>
          <c:x val="0.15117422977988101"/>
          <c:y val="0.14134670621802486"/>
          <c:w val="0.82217271781176982"/>
          <c:h val="0.63216758812407525"/>
        </c:manualLayout>
      </c:layout>
      <c:barChart>
        <c:barDir val="col"/>
        <c:grouping val="stacked"/>
        <c:varyColors val="0"/>
        <c:ser>
          <c:idx val="0"/>
          <c:order val="0"/>
          <c:tx>
            <c:strRef>
              <c:f>'business model (in Real terms)'!$A$69</c:f>
              <c:strCache>
                <c:ptCount val="1"/>
                <c:pt idx="0">
                  <c:v>Revenue - organic fertilisers</c:v>
                </c:pt>
              </c:strCache>
            </c:strRef>
          </c:tx>
          <c:spPr>
            <a:solidFill>
              <a:schemeClr val="accent3">
                <a:lumMod val="60000"/>
                <a:lumOff val="40000"/>
              </a:schemeClr>
            </a:solidFill>
            <a:ln w="76200">
              <a:noFill/>
            </a:ln>
          </c:spPr>
          <c:invertIfNegative val="0"/>
          <c:cat>
            <c:numRef>
              <c:f>'business model (in Real terms)'!$D$60:$AY$60</c:f>
              <c:numCache>
                <c:formatCode>mmm\ yyyy</c:formatCode>
                <c:ptCount val="48"/>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pt idx="12">
                  <c:v>46485</c:v>
                </c:pt>
                <c:pt idx="13">
                  <c:v>46516</c:v>
                </c:pt>
                <c:pt idx="14">
                  <c:v>46547</c:v>
                </c:pt>
                <c:pt idx="15">
                  <c:v>46578</c:v>
                </c:pt>
                <c:pt idx="16">
                  <c:v>46609</c:v>
                </c:pt>
                <c:pt idx="17">
                  <c:v>46640</c:v>
                </c:pt>
                <c:pt idx="18">
                  <c:v>46671</c:v>
                </c:pt>
                <c:pt idx="19">
                  <c:v>46702</c:v>
                </c:pt>
                <c:pt idx="20">
                  <c:v>46733</c:v>
                </c:pt>
                <c:pt idx="21">
                  <c:v>46764</c:v>
                </c:pt>
                <c:pt idx="22">
                  <c:v>46795</c:v>
                </c:pt>
                <c:pt idx="23">
                  <c:v>46826</c:v>
                </c:pt>
                <c:pt idx="24">
                  <c:v>46857</c:v>
                </c:pt>
                <c:pt idx="25">
                  <c:v>46888</c:v>
                </c:pt>
                <c:pt idx="26">
                  <c:v>46919</c:v>
                </c:pt>
                <c:pt idx="27">
                  <c:v>46950</c:v>
                </c:pt>
                <c:pt idx="28">
                  <c:v>46981</c:v>
                </c:pt>
                <c:pt idx="29">
                  <c:v>47012</c:v>
                </c:pt>
                <c:pt idx="30">
                  <c:v>47043</c:v>
                </c:pt>
                <c:pt idx="31">
                  <c:v>47074</c:v>
                </c:pt>
                <c:pt idx="32">
                  <c:v>47105</c:v>
                </c:pt>
                <c:pt idx="33">
                  <c:v>47136</c:v>
                </c:pt>
                <c:pt idx="34">
                  <c:v>47167</c:v>
                </c:pt>
                <c:pt idx="35">
                  <c:v>47198</c:v>
                </c:pt>
                <c:pt idx="36">
                  <c:v>47229</c:v>
                </c:pt>
                <c:pt idx="37">
                  <c:v>47260</c:v>
                </c:pt>
                <c:pt idx="38">
                  <c:v>47291</c:v>
                </c:pt>
                <c:pt idx="39">
                  <c:v>47322</c:v>
                </c:pt>
                <c:pt idx="40">
                  <c:v>47353</c:v>
                </c:pt>
                <c:pt idx="41">
                  <c:v>47384</c:v>
                </c:pt>
                <c:pt idx="42">
                  <c:v>47415</c:v>
                </c:pt>
                <c:pt idx="43">
                  <c:v>47446</c:v>
                </c:pt>
                <c:pt idx="44">
                  <c:v>47477</c:v>
                </c:pt>
                <c:pt idx="45">
                  <c:v>47508</c:v>
                </c:pt>
                <c:pt idx="46">
                  <c:v>47539</c:v>
                </c:pt>
                <c:pt idx="47">
                  <c:v>47570</c:v>
                </c:pt>
              </c:numCache>
            </c:numRef>
          </c:cat>
          <c:val>
            <c:numRef>
              <c:f>'business model (in Real terms)'!$D$69:$AY$69</c:f>
              <c:numCache>
                <c:formatCode>#,##0</c:formatCode>
                <c:ptCount val="48"/>
                <c:pt idx="0">
                  <c:v>0</c:v>
                </c:pt>
                <c:pt idx="1">
                  <c:v>0</c:v>
                </c:pt>
                <c:pt idx="2">
                  <c:v>0</c:v>
                </c:pt>
                <c:pt idx="3">
                  <c:v>0</c:v>
                </c:pt>
                <c:pt idx="4">
                  <c:v>0</c:v>
                </c:pt>
                <c:pt idx="5">
                  <c:v>0</c:v>
                </c:pt>
                <c:pt idx="6">
                  <c:v>13500</c:v>
                </c:pt>
                <c:pt idx="7">
                  <c:v>13566.824999999999</c:v>
                </c:pt>
                <c:pt idx="8">
                  <c:v>13633.980783749999</c:v>
                </c:pt>
                <c:pt idx="9">
                  <c:v>13701.468988629562</c:v>
                </c:pt>
                <c:pt idx="10">
                  <c:v>13769.291260123278</c:v>
                </c:pt>
                <c:pt idx="11">
                  <c:v>13837.449251860889</c:v>
                </c:pt>
                <c:pt idx="12">
                  <c:v>13905.944625657601</c:v>
                </c:pt>
                <c:pt idx="13">
                  <c:v>13974.779051554606</c:v>
                </c:pt>
                <c:pt idx="14">
                  <c:v>14043.954207859802</c:v>
                </c:pt>
                <c:pt idx="15">
                  <c:v>14113.471781188708</c:v>
                </c:pt>
                <c:pt idx="16">
                  <c:v>14183.33346650559</c:v>
                </c:pt>
                <c:pt idx="17">
                  <c:v>14253.540967164794</c:v>
                </c:pt>
                <c:pt idx="18">
                  <c:v>14324.095994952257</c:v>
                </c:pt>
                <c:pt idx="19">
                  <c:v>14395.000270127272</c:v>
                </c:pt>
                <c:pt idx="20">
                  <c:v>14466.255521464402</c:v>
                </c:pt>
                <c:pt idx="21">
                  <c:v>14537.863486295651</c:v>
                </c:pt>
                <c:pt idx="22">
                  <c:v>14609.825910552814</c:v>
                </c:pt>
                <c:pt idx="23">
                  <c:v>14682.144548810051</c:v>
                </c:pt>
                <c:pt idx="24">
                  <c:v>14754.821164326662</c:v>
                </c:pt>
                <c:pt idx="25">
                  <c:v>14827.857529090081</c:v>
                </c:pt>
                <c:pt idx="26">
                  <c:v>14901.255423859076</c:v>
                </c:pt>
                <c:pt idx="27">
                  <c:v>14975.01663820718</c:v>
                </c:pt>
                <c:pt idx="28">
                  <c:v>15049.142970566305</c:v>
                </c:pt>
                <c:pt idx="29">
                  <c:v>15123.636228270607</c:v>
                </c:pt>
                <c:pt idx="30">
                  <c:v>15198.498227600547</c:v>
                </c:pt>
                <c:pt idx="31">
                  <c:v>15273.73079382717</c:v>
                </c:pt>
                <c:pt idx="32">
                  <c:v>15349.335761256614</c:v>
                </c:pt>
                <c:pt idx="33">
                  <c:v>15425.314973274835</c:v>
                </c:pt>
                <c:pt idx="34">
                  <c:v>15501.670282392544</c:v>
                </c:pt>
                <c:pt idx="35">
                  <c:v>15578.403550290386</c:v>
                </c:pt>
                <c:pt idx="36">
                  <c:v>15655.516647864322</c:v>
                </c:pt>
                <c:pt idx="37">
                  <c:v>15733.011455271255</c:v>
                </c:pt>
                <c:pt idx="38">
                  <c:v>15810.889861974847</c:v>
                </c:pt>
                <c:pt idx="39">
                  <c:v>15889.153766791622</c:v>
                </c:pt>
                <c:pt idx="40">
                  <c:v>15967.805077937241</c:v>
                </c:pt>
                <c:pt idx="41">
                  <c:v>16046.845713073029</c:v>
                </c:pt>
                <c:pt idx="42">
                  <c:v>16126.277599352743</c:v>
                </c:pt>
                <c:pt idx="43">
                  <c:v>16206.102673469539</c:v>
                </c:pt>
                <c:pt idx="44">
                  <c:v>16286.322881703212</c:v>
                </c:pt>
                <c:pt idx="45">
                  <c:v>16286.322881703212</c:v>
                </c:pt>
                <c:pt idx="46">
                  <c:v>16286.322881703212</c:v>
                </c:pt>
                <c:pt idx="47">
                  <c:v>16286.322881703212</c:v>
                </c:pt>
              </c:numCache>
            </c:numRef>
          </c:val>
          <c:extLst>
            <c:ext xmlns:c16="http://schemas.microsoft.com/office/drawing/2014/chart" uri="{C3380CC4-5D6E-409C-BE32-E72D297353CC}">
              <c16:uniqueId val="{00000000-9F1D-49FC-948A-66491ECD5D00}"/>
            </c:ext>
          </c:extLst>
        </c:ser>
        <c:dLbls>
          <c:showLegendKey val="0"/>
          <c:showVal val="0"/>
          <c:showCatName val="0"/>
          <c:showSerName val="0"/>
          <c:showPercent val="0"/>
          <c:showBubbleSize val="0"/>
        </c:dLbls>
        <c:gapWidth val="10"/>
        <c:overlap val="100"/>
        <c:axId val="404287008"/>
        <c:axId val="404287400"/>
      </c:barChart>
      <c:dateAx>
        <c:axId val="404287008"/>
        <c:scaling>
          <c:orientation val="minMax"/>
        </c:scaling>
        <c:delete val="0"/>
        <c:axPos val="b"/>
        <c:numFmt formatCode="mmm\ yyyy" sourceLinked="1"/>
        <c:majorTickMark val="out"/>
        <c:minorTickMark val="none"/>
        <c:tickLblPos val="nextTo"/>
        <c:txPr>
          <a:bodyPr/>
          <a:lstStyle/>
          <a:p>
            <a:pPr>
              <a:defRPr sz="900" b="0"/>
            </a:pPr>
            <a:endParaRPr lang="en-US"/>
          </a:p>
        </c:txPr>
        <c:crossAx val="404287400"/>
        <c:crosses val="autoZero"/>
        <c:auto val="1"/>
        <c:lblOffset val="100"/>
        <c:baseTimeUnit val="months"/>
      </c:dateAx>
      <c:valAx>
        <c:axId val="404287400"/>
        <c:scaling>
          <c:orientation val="minMax"/>
        </c:scaling>
        <c:delete val="0"/>
        <c:axPos val="l"/>
        <c:majorGridlines/>
        <c:title>
          <c:tx>
            <c:rich>
              <a:bodyPr rot="-5400000" vert="horz"/>
              <a:lstStyle/>
              <a:p>
                <a:pPr>
                  <a:defRPr sz="1600" b="1">
                    <a:solidFill>
                      <a:sysClr val="windowText" lastClr="000000"/>
                    </a:solidFill>
                  </a:defRPr>
                </a:pPr>
                <a:r>
                  <a:rPr lang="en-US" sz="1600" b="1">
                    <a:solidFill>
                      <a:sysClr val="windowText" lastClr="000000"/>
                    </a:solidFill>
                  </a:rPr>
                  <a:t>$</a:t>
                </a:r>
              </a:p>
            </c:rich>
          </c:tx>
          <c:layout>
            <c:manualLayout>
              <c:xMode val="edge"/>
              <c:yMode val="edge"/>
              <c:x val="6.3959773449371454E-2"/>
              <c:y val="0.13455531960211464"/>
            </c:manualLayout>
          </c:layout>
          <c:overlay val="0"/>
        </c:title>
        <c:numFmt formatCode="#,##0" sourceLinked="1"/>
        <c:majorTickMark val="out"/>
        <c:minorTickMark val="none"/>
        <c:tickLblPos val="nextTo"/>
        <c:txPr>
          <a:bodyPr/>
          <a:lstStyle/>
          <a:p>
            <a:pPr>
              <a:defRPr sz="1000" b="0">
                <a:solidFill>
                  <a:schemeClr val="tx1"/>
                </a:solidFill>
              </a:defRPr>
            </a:pPr>
            <a:endParaRPr lang="en-US"/>
          </a:p>
        </c:txPr>
        <c:crossAx val="40428700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Net Present Value "NPV"  </a:t>
            </a:r>
            <a:r>
              <a:rPr lang="en-US" sz="1200" b="0"/>
              <a:t>before funding</a:t>
            </a:r>
          </a:p>
          <a:p>
            <a:pPr>
              <a:defRPr sz="1200"/>
            </a:pPr>
            <a:endParaRPr lang="en-US" sz="1200"/>
          </a:p>
        </c:rich>
      </c:tx>
      <c:layout>
        <c:manualLayout>
          <c:xMode val="edge"/>
          <c:yMode val="edge"/>
          <c:x val="0.24240103916220915"/>
          <c:y val="4.82293010852732E-2"/>
        </c:manualLayout>
      </c:layout>
      <c:overlay val="0"/>
    </c:title>
    <c:autoTitleDeleted val="0"/>
    <c:plotArea>
      <c:layout>
        <c:manualLayout>
          <c:layoutTarget val="inner"/>
          <c:xMode val="edge"/>
          <c:yMode val="edge"/>
          <c:x val="0.10203268961608807"/>
          <c:y val="6.3661917916008115E-2"/>
          <c:w val="0.84910378763100991"/>
          <c:h val="0.71840183315174055"/>
        </c:manualLayout>
      </c:layout>
      <c:barChart>
        <c:barDir val="col"/>
        <c:grouping val="clustered"/>
        <c:varyColors val="0"/>
        <c:ser>
          <c:idx val="0"/>
          <c:order val="0"/>
          <c:tx>
            <c:strRef>
              <c:f>'business model (in Real terms)'!$A$176</c:f>
              <c:strCache>
                <c:ptCount val="1"/>
                <c:pt idx="0">
                  <c:v>Discounted Cash Generated each month</c:v>
                </c:pt>
              </c:strCache>
            </c:strRef>
          </c:tx>
          <c:spPr>
            <a:ln w="60325">
              <a:solidFill>
                <a:schemeClr val="accent3">
                  <a:lumMod val="60000"/>
                  <a:lumOff val="40000"/>
                </a:schemeClr>
              </a:solidFill>
            </a:ln>
          </c:spPr>
          <c:invertIfNegative val="0"/>
          <c:cat>
            <c:numRef>
              <c:f>'business model (in Real terms)'!$D$60:$AY$60</c:f>
              <c:numCache>
                <c:formatCode>mmm\ yyyy</c:formatCode>
                <c:ptCount val="48"/>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pt idx="12">
                  <c:v>46485</c:v>
                </c:pt>
                <c:pt idx="13">
                  <c:v>46516</c:v>
                </c:pt>
                <c:pt idx="14">
                  <c:v>46547</c:v>
                </c:pt>
                <c:pt idx="15">
                  <c:v>46578</c:v>
                </c:pt>
                <c:pt idx="16">
                  <c:v>46609</c:v>
                </c:pt>
                <c:pt idx="17">
                  <c:v>46640</c:v>
                </c:pt>
                <c:pt idx="18">
                  <c:v>46671</c:v>
                </c:pt>
                <c:pt idx="19">
                  <c:v>46702</c:v>
                </c:pt>
                <c:pt idx="20">
                  <c:v>46733</c:v>
                </c:pt>
                <c:pt idx="21">
                  <c:v>46764</c:v>
                </c:pt>
                <c:pt idx="22">
                  <c:v>46795</c:v>
                </c:pt>
                <c:pt idx="23">
                  <c:v>46826</c:v>
                </c:pt>
                <c:pt idx="24">
                  <c:v>46857</c:v>
                </c:pt>
                <c:pt idx="25">
                  <c:v>46888</c:v>
                </c:pt>
                <c:pt idx="26">
                  <c:v>46919</c:v>
                </c:pt>
                <c:pt idx="27">
                  <c:v>46950</c:v>
                </c:pt>
                <c:pt idx="28">
                  <c:v>46981</c:v>
                </c:pt>
                <c:pt idx="29">
                  <c:v>47012</c:v>
                </c:pt>
                <c:pt idx="30">
                  <c:v>47043</c:v>
                </c:pt>
                <c:pt idx="31">
                  <c:v>47074</c:v>
                </c:pt>
                <c:pt idx="32">
                  <c:v>47105</c:v>
                </c:pt>
                <c:pt idx="33">
                  <c:v>47136</c:v>
                </c:pt>
                <c:pt idx="34">
                  <c:v>47167</c:v>
                </c:pt>
                <c:pt idx="35">
                  <c:v>47198</c:v>
                </c:pt>
                <c:pt idx="36">
                  <c:v>47229</c:v>
                </c:pt>
                <c:pt idx="37">
                  <c:v>47260</c:v>
                </c:pt>
                <c:pt idx="38">
                  <c:v>47291</c:v>
                </c:pt>
                <c:pt idx="39">
                  <c:v>47322</c:v>
                </c:pt>
                <c:pt idx="40">
                  <c:v>47353</c:v>
                </c:pt>
                <c:pt idx="41">
                  <c:v>47384</c:v>
                </c:pt>
                <c:pt idx="42">
                  <c:v>47415</c:v>
                </c:pt>
                <c:pt idx="43">
                  <c:v>47446</c:v>
                </c:pt>
                <c:pt idx="44">
                  <c:v>47477</c:v>
                </c:pt>
                <c:pt idx="45">
                  <c:v>47508</c:v>
                </c:pt>
                <c:pt idx="46">
                  <c:v>47539</c:v>
                </c:pt>
                <c:pt idx="47">
                  <c:v>47570</c:v>
                </c:pt>
              </c:numCache>
            </c:numRef>
          </c:cat>
          <c:val>
            <c:numRef>
              <c:f>'business model (in Real terms)'!$D$176:$AY$176</c:f>
              <c:numCache>
                <c:formatCode>#,##0_);[Red]\(#,##0\)</c:formatCode>
                <c:ptCount val="48"/>
                <c:pt idx="0">
                  <c:v>-1095.4451150103321</c:v>
                </c:pt>
                <c:pt idx="1">
                  <c:v>-10064.836887588954</c:v>
                </c:pt>
                <c:pt idx="2">
                  <c:v>-17105.050827751242</c:v>
                </c:pt>
                <c:pt idx="3">
                  <c:v>-24028.210153446835</c:v>
                </c:pt>
                <c:pt idx="4">
                  <c:v>-11568.886844361401</c:v>
                </c:pt>
                <c:pt idx="5">
                  <c:v>-21461.366777547955</c:v>
                </c:pt>
                <c:pt idx="6">
                  <c:v>6720.4595341150234</c:v>
                </c:pt>
                <c:pt idx="7">
                  <c:v>4892.9677721768303</c:v>
                </c:pt>
                <c:pt idx="8">
                  <c:v>4867.0106047041236</c:v>
                </c:pt>
                <c:pt idx="9">
                  <c:v>4841.172309282716</c:v>
                </c:pt>
                <c:pt idx="10">
                  <c:v>4815.449740107556</c:v>
                </c:pt>
                <c:pt idx="11">
                  <c:v>4789.8398501354031</c:v>
                </c:pt>
                <c:pt idx="12">
                  <c:v>4764.3396881191939</c:v>
                </c:pt>
                <c:pt idx="13">
                  <c:v>4738.9463957292483</c:v>
                </c:pt>
                <c:pt idx="14">
                  <c:v>4713.6572047587424</c:v>
                </c:pt>
                <c:pt idx="15">
                  <c:v>4688.4694344110439</c:v>
                </c:pt>
                <c:pt idx="16">
                  <c:v>4663.3804886665221</c:v>
                </c:pt>
                <c:pt idx="17">
                  <c:v>4638.3878537265045</c:v>
                </c:pt>
                <c:pt idx="18">
                  <c:v>4613.4890955321735</c:v>
                </c:pt>
                <c:pt idx="19">
                  <c:v>4588.6818573562086</c:v>
                </c:pt>
                <c:pt idx="20">
                  <c:v>4563.963857465048</c:v>
                </c:pt>
                <c:pt idx="21">
                  <c:v>4539.3328868497465</c:v>
                </c:pt>
                <c:pt idx="22">
                  <c:v>4514.7868070234226</c:v>
                </c:pt>
                <c:pt idx="23">
                  <c:v>4490.3235478833649</c:v>
                </c:pt>
                <c:pt idx="24">
                  <c:v>4465.9411056358967</c:v>
                </c:pt>
                <c:pt idx="25">
                  <c:v>4441.6375407822143</c:v>
                </c:pt>
                <c:pt idx="26">
                  <c:v>4417.4109761634045</c:v>
                </c:pt>
                <c:pt idx="27">
                  <c:v>4393.2595950629184</c:v>
                </c:pt>
                <c:pt idx="28">
                  <c:v>4369.1816393648369</c:v>
                </c:pt>
                <c:pt idx="29">
                  <c:v>4345.175407766309</c:v>
                </c:pt>
                <c:pt idx="30">
                  <c:v>4321.239254042589</c:v>
                </c:pt>
                <c:pt idx="31">
                  <c:v>4297.3715853631384</c:v>
                </c:pt>
                <c:pt idx="32">
                  <c:v>4273.5708606572962</c:v>
                </c:pt>
                <c:pt idx="33">
                  <c:v>4249.8355890281173</c:v>
                </c:pt>
                <c:pt idx="34">
                  <c:v>4226.1643282129153</c:v>
                </c:pt>
                <c:pt idx="35">
                  <c:v>4202.555683089221</c:v>
                </c:pt>
                <c:pt idx="36">
                  <c:v>4179.0083042247734</c:v>
                </c:pt>
                <c:pt idx="37">
                  <c:v>4155.5208864703018</c:v>
                </c:pt>
                <c:pt idx="38">
                  <c:v>4132.0921675938316</c:v>
                </c:pt>
                <c:pt idx="39">
                  <c:v>4108.7209269553341</c:v>
                </c:pt>
                <c:pt idx="40">
                  <c:v>4085.4059842205093</c:v>
                </c:pt>
                <c:pt idx="41">
                  <c:v>4062.1461981125785</c:v>
                </c:pt>
                <c:pt idx="42">
                  <c:v>4038.9404652010016</c:v>
                </c:pt>
                <c:pt idx="43">
                  <c:v>4015.7877187260019</c:v>
                </c:pt>
                <c:pt idx="44">
                  <c:v>4001.6290497366481</c:v>
                </c:pt>
                <c:pt idx="45">
                  <c:v>3967.5188087116089</c:v>
                </c:pt>
                <c:pt idx="46">
                  <c:v>4563.6691485029442</c:v>
                </c:pt>
                <c:pt idx="47">
                  <c:v>8764.8782987668965</c:v>
                </c:pt>
              </c:numCache>
            </c:numRef>
          </c:val>
          <c:extLst>
            <c:ext xmlns:c16="http://schemas.microsoft.com/office/drawing/2014/chart" uri="{C3380CC4-5D6E-409C-BE32-E72D297353CC}">
              <c16:uniqueId val="{00000001-D04B-483A-8C1A-79C170966E7C}"/>
            </c:ext>
          </c:extLst>
        </c:ser>
        <c:dLbls>
          <c:showLegendKey val="0"/>
          <c:showVal val="0"/>
          <c:showCatName val="0"/>
          <c:showSerName val="0"/>
          <c:showPercent val="0"/>
          <c:showBubbleSize val="0"/>
        </c:dLbls>
        <c:gapWidth val="150"/>
        <c:axId val="275021336"/>
        <c:axId val="277108728"/>
      </c:barChart>
      <c:lineChart>
        <c:grouping val="standard"/>
        <c:varyColors val="0"/>
        <c:ser>
          <c:idx val="1"/>
          <c:order val="1"/>
          <c:tx>
            <c:strRef>
              <c:f>'business model (in Real terms)'!$A$177</c:f>
              <c:strCache>
                <c:ptCount val="1"/>
                <c:pt idx="0">
                  <c:v>Cumulative NPV over 48 months</c:v>
                </c:pt>
              </c:strCache>
            </c:strRef>
          </c:tx>
          <c:spPr>
            <a:solidFill>
              <a:schemeClr val="accent3">
                <a:lumMod val="20000"/>
                <a:lumOff val="80000"/>
              </a:schemeClr>
            </a:solidFill>
            <a:ln>
              <a:solidFill>
                <a:schemeClr val="accent3">
                  <a:lumMod val="75000"/>
                </a:schemeClr>
              </a:solidFill>
            </a:ln>
          </c:spPr>
          <c:marker>
            <c:symbol val="none"/>
          </c:marker>
          <c:cat>
            <c:numRef>
              <c:f>'business model (in Real terms)'!$D$60:$H$60</c:f>
              <c:numCache>
                <c:formatCode>mmm\ yyyy</c:formatCode>
                <c:ptCount val="5"/>
                <c:pt idx="0">
                  <c:v>46113</c:v>
                </c:pt>
                <c:pt idx="1">
                  <c:v>46144</c:v>
                </c:pt>
                <c:pt idx="2">
                  <c:v>46175</c:v>
                </c:pt>
                <c:pt idx="3">
                  <c:v>46206</c:v>
                </c:pt>
                <c:pt idx="4">
                  <c:v>46237</c:v>
                </c:pt>
              </c:numCache>
            </c:numRef>
          </c:cat>
          <c:val>
            <c:numRef>
              <c:f>'business model (in Real terms)'!$D$177:$AY$177</c:f>
              <c:numCache>
                <c:formatCode>#,##0_);[Red]\(#,##0\)</c:formatCode>
                <c:ptCount val="48"/>
                <c:pt idx="0">
                  <c:v>-1095.4451150103321</c:v>
                </c:pt>
                <c:pt idx="1">
                  <c:v>-11160.282002599286</c:v>
                </c:pt>
                <c:pt idx="2">
                  <c:v>-28265.332830350526</c:v>
                </c:pt>
                <c:pt idx="3">
                  <c:v>-52293.542983797364</c:v>
                </c:pt>
                <c:pt idx="4">
                  <c:v>-63862.429828158769</c:v>
                </c:pt>
                <c:pt idx="5">
                  <c:v>-85323.796605706724</c:v>
                </c:pt>
                <c:pt idx="6">
                  <c:v>-78603.337071591697</c:v>
                </c:pt>
                <c:pt idx="7">
                  <c:v>-73710.369299414873</c:v>
                </c:pt>
                <c:pt idx="8">
                  <c:v>-68843.358694710754</c:v>
                </c:pt>
                <c:pt idx="9">
                  <c:v>-64002.186385428038</c:v>
                </c:pt>
                <c:pt idx="10">
                  <c:v>-59186.736645320481</c:v>
                </c:pt>
                <c:pt idx="11">
                  <c:v>-54396.896795185079</c:v>
                </c:pt>
                <c:pt idx="12">
                  <c:v>-49632.557107065884</c:v>
                </c:pt>
                <c:pt idx="13">
                  <c:v>-44893.610711336638</c:v>
                </c:pt>
                <c:pt idx="14">
                  <c:v>-40179.953506577898</c:v>
                </c:pt>
                <c:pt idx="15">
                  <c:v>-35491.484072166852</c:v>
                </c:pt>
                <c:pt idx="16">
                  <c:v>-30828.103583500328</c:v>
                </c:pt>
                <c:pt idx="17">
                  <c:v>-26189.715729773823</c:v>
                </c:pt>
                <c:pt idx="18">
                  <c:v>-21576.226634241648</c:v>
                </c:pt>
                <c:pt idx="19">
                  <c:v>-16987.544776885439</c:v>
                </c:pt>
                <c:pt idx="20">
                  <c:v>-12423.58091942039</c:v>
                </c:pt>
                <c:pt idx="21">
                  <c:v>-7884.2480325706438</c:v>
                </c:pt>
                <c:pt idx="22">
                  <c:v>-3369.4612255472211</c:v>
                </c:pt>
                <c:pt idx="23">
                  <c:v>1120.8623223361437</c:v>
                </c:pt>
                <c:pt idx="24">
                  <c:v>5586.8034279720405</c:v>
                </c:pt>
                <c:pt idx="25">
                  <c:v>10028.440968754254</c:v>
                </c:pt>
                <c:pt idx="26">
                  <c:v>14445.851944917658</c:v>
                </c:pt>
                <c:pt idx="27">
                  <c:v>18839.111539980579</c:v>
                </c:pt>
                <c:pt idx="28">
                  <c:v>23208.293179345415</c:v>
                </c:pt>
                <c:pt idx="29">
                  <c:v>27553.468587111725</c:v>
                </c:pt>
                <c:pt idx="30">
                  <c:v>31874.707841154315</c:v>
                </c:pt>
                <c:pt idx="31">
                  <c:v>36172.079426517455</c:v>
                </c:pt>
                <c:pt idx="32">
                  <c:v>40445.650287174751</c:v>
                </c:pt>
                <c:pt idx="33">
                  <c:v>44695.485876202867</c:v>
                </c:pt>
                <c:pt idx="34">
                  <c:v>48921.650204415782</c:v>
                </c:pt>
                <c:pt idx="35">
                  <c:v>53124.205887505006</c:v>
                </c:pt>
                <c:pt idx="36">
                  <c:v>57303.214191729778</c:v>
                </c:pt>
                <c:pt idx="37">
                  <c:v>61458.735078200079</c:v>
                </c:pt>
                <c:pt idx="38">
                  <c:v>65590.827245793917</c:v>
                </c:pt>
                <c:pt idx="39">
                  <c:v>69699.548172749244</c:v>
                </c:pt>
                <c:pt idx="40">
                  <c:v>73784.954156969747</c:v>
                </c:pt>
                <c:pt idx="41">
                  <c:v>77847.100355082322</c:v>
                </c:pt>
                <c:pt idx="42">
                  <c:v>81886.04082028332</c:v>
                </c:pt>
                <c:pt idx="43">
                  <c:v>85901.828539009322</c:v>
                </c:pt>
                <c:pt idx="44">
                  <c:v>89903.457588745965</c:v>
                </c:pt>
                <c:pt idx="45">
                  <c:v>93870.976397457576</c:v>
                </c:pt>
                <c:pt idx="46">
                  <c:v>98434.64554596052</c:v>
                </c:pt>
                <c:pt idx="47">
                  <c:v>107199.52384472742</c:v>
                </c:pt>
              </c:numCache>
            </c:numRef>
          </c:val>
          <c:smooth val="0"/>
          <c:extLst>
            <c:ext xmlns:c16="http://schemas.microsoft.com/office/drawing/2014/chart" uri="{C3380CC4-5D6E-409C-BE32-E72D297353CC}">
              <c16:uniqueId val="{00000000-D04B-483A-8C1A-79C170966E7C}"/>
            </c:ext>
          </c:extLst>
        </c:ser>
        <c:dLbls>
          <c:showLegendKey val="0"/>
          <c:showVal val="0"/>
          <c:showCatName val="0"/>
          <c:showSerName val="0"/>
          <c:showPercent val="0"/>
          <c:showBubbleSize val="0"/>
        </c:dLbls>
        <c:marker val="1"/>
        <c:smooth val="0"/>
        <c:axId val="275021336"/>
        <c:axId val="277108728"/>
      </c:lineChart>
      <c:dateAx>
        <c:axId val="275021336"/>
        <c:scaling>
          <c:orientation val="minMax"/>
        </c:scaling>
        <c:delete val="0"/>
        <c:axPos val="b"/>
        <c:numFmt formatCode="mmm\ yyyy" sourceLinked="1"/>
        <c:majorTickMark val="out"/>
        <c:minorTickMark val="none"/>
        <c:tickLblPos val="nextTo"/>
        <c:txPr>
          <a:bodyPr/>
          <a:lstStyle/>
          <a:p>
            <a:pPr>
              <a:defRPr sz="900" b="0"/>
            </a:pPr>
            <a:endParaRPr lang="en-US"/>
          </a:p>
        </c:txPr>
        <c:crossAx val="277108728"/>
        <c:crosses val="autoZero"/>
        <c:auto val="1"/>
        <c:lblOffset val="100"/>
        <c:baseTimeUnit val="months"/>
      </c:dateAx>
      <c:valAx>
        <c:axId val="277108728"/>
        <c:scaling>
          <c:orientation val="minMax"/>
        </c:scaling>
        <c:delete val="0"/>
        <c:axPos val="l"/>
        <c:majorGridlines/>
        <c:title>
          <c:tx>
            <c:rich>
              <a:bodyPr rot="-5400000" vert="horz"/>
              <a:lstStyle/>
              <a:p>
                <a:pPr>
                  <a:defRPr sz="1200"/>
                </a:pPr>
                <a:r>
                  <a:rPr lang="en-US" sz="1200"/>
                  <a:t>$</a:t>
                </a:r>
              </a:p>
            </c:rich>
          </c:tx>
          <c:layout>
            <c:manualLayout>
              <c:xMode val="edge"/>
              <c:yMode val="edge"/>
              <c:x val="1.0524695597327655E-2"/>
              <c:y val="0.30162301092108856"/>
            </c:manualLayout>
          </c:layout>
          <c:overlay val="0"/>
        </c:title>
        <c:numFmt formatCode="#,##0" sourceLinked="0"/>
        <c:majorTickMark val="out"/>
        <c:minorTickMark val="none"/>
        <c:tickLblPos val="nextTo"/>
        <c:txPr>
          <a:bodyPr/>
          <a:lstStyle/>
          <a:p>
            <a:pPr>
              <a:defRPr sz="1000" b="0"/>
            </a:pPr>
            <a:endParaRPr lang="en-US"/>
          </a:p>
        </c:txPr>
        <c:crossAx val="275021336"/>
        <c:crosses val="autoZero"/>
        <c:crossBetween val="between"/>
      </c:valAx>
    </c:plotArea>
    <c:legend>
      <c:legendPos val="b"/>
      <c:layout>
        <c:manualLayout>
          <c:xMode val="edge"/>
          <c:yMode val="edge"/>
          <c:x val="4.999990242855331E-2"/>
          <c:y val="0.79131550793980732"/>
          <c:w val="0.78104089219330852"/>
          <c:h val="0.17962176500763755"/>
        </c:manualLayout>
      </c:layout>
      <c:overlay val="0"/>
      <c:txPr>
        <a:bodyPr/>
        <a:lstStyle/>
        <a:p>
          <a:pPr>
            <a:defRPr sz="1000" b="0" i="0"/>
          </a:pPr>
          <a:endParaRPr lang="en-US"/>
        </a:p>
      </c:txPr>
    </c:legend>
    <c:plotVisOnly val="1"/>
    <c:dispBlanksAs val="gap"/>
    <c:showDLblsOverMax val="0"/>
  </c:chart>
  <c:txPr>
    <a:bodyPr/>
    <a:lstStyle/>
    <a:p>
      <a:pPr algn="ctr">
        <a:defRPr lang="en-AU" sz="1600" b="1" i="0" u="none" strike="noStrike" kern="1200" baseline="0">
          <a:solidFill>
            <a:sysClr val="windowText" lastClr="000000"/>
          </a:solidFill>
          <a:latin typeface="+mn-lt"/>
          <a:ea typeface="+mn-ea"/>
          <a:cs typeface="+mn-cs"/>
        </a:defRPr>
      </a:pPr>
      <a:endParaRPr lang="en-US"/>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i="1"/>
            </a:pPr>
            <a:r>
              <a:rPr lang="en-US" sz="1600" i="1"/>
              <a:t>Debt &amp; Equity</a:t>
            </a:r>
          </a:p>
        </c:rich>
      </c:tx>
      <c:layout>
        <c:manualLayout>
          <c:xMode val="edge"/>
          <c:yMode val="edge"/>
          <c:x val="0.33852147791870901"/>
          <c:y val="4.0251572327044002E-2"/>
        </c:manualLayout>
      </c:layout>
      <c:overlay val="1"/>
    </c:title>
    <c:autoTitleDeleted val="0"/>
    <c:plotArea>
      <c:layout>
        <c:manualLayout>
          <c:layoutTarget val="inner"/>
          <c:xMode val="edge"/>
          <c:yMode val="edge"/>
          <c:x val="0.12111709627845815"/>
          <c:y val="0.138723785316611"/>
          <c:w val="0.51094694149146846"/>
          <c:h val="0.78019541066844"/>
        </c:manualLayout>
      </c:layout>
      <c:barChart>
        <c:barDir val="col"/>
        <c:grouping val="stacked"/>
        <c:varyColors val="0"/>
        <c:ser>
          <c:idx val="0"/>
          <c:order val="0"/>
          <c:tx>
            <c:strRef>
              <c:f>'project funding (in Nominal)'!$A$34</c:f>
              <c:strCache>
                <c:ptCount val="1"/>
                <c:pt idx="0">
                  <c:v>a. Donations</c:v>
                </c:pt>
              </c:strCache>
            </c:strRef>
          </c:tx>
          <c:spPr>
            <a:solidFill>
              <a:srgbClr val="FFFF00"/>
            </a:solidFill>
            <a:ln>
              <a:solidFill>
                <a:srgbClr val="FF0000"/>
              </a:solidFill>
              <a:prstDash val="sysDash"/>
            </a:ln>
          </c:spPr>
          <c:invertIfNegative val="0"/>
          <c:cat>
            <c:numRef>
              <c:f>'project funding (in Nominal)'!$D$18:$AY$18</c:f>
              <c:numCache>
                <c:formatCode>mmm\ yyyy</c:formatCode>
                <c:ptCount val="48"/>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pt idx="12">
                  <c:v>46485</c:v>
                </c:pt>
                <c:pt idx="13">
                  <c:v>46516</c:v>
                </c:pt>
                <c:pt idx="14">
                  <c:v>46547</c:v>
                </c:pt>
                <c:pt idx="15">
                  <c:v>46578</c:v>
                </c:pt>
                <c:pt idx="16">
                  <c:v>46609</c:v>
                </c:pt>
                <c:pt idx="17">
                  <c:v>46640</c:v>
                </c:pt>
                <c:pt idx="18">
                  <c:v>46671</c:v>
                </c:pt>
                <c:pt idx="19">
                  <c:v>46702</c:v>
                </c:pt>
                <c:pt idx="20">
                  <c:v>46733</c:v>
                </c:pt>
                <c:pt idx="21">
                  <c:v>46764</c:v>
                </c:pt>
                <c:pt idx="22">
                  <c:v>46795</c:v>
                </c:pt>
                <c:pt idx="23">
                  <c:v>46826</c:v>
                </c:pt>
                <c:pt idx="24">
                  <c:v>46857</c:v>
                </c:pt>
                <c:pt idx="25">
                  <c:v>46888</c:v>
                </c:pt>
                <c:pt idx="26">
                  <c:v>46919</c:v>
                </c:pt>
                <c:pt idx="27">
                  <c:v>46950</c:v>
                </c:pt>
                <c:pt idx="28">
                  <c:v>46981</c:v>
                </c:pt>
                <c:pt idx="29">
                  <c:v>47012</c:v>
                </c:pt>
                <c:pt idx="30">
                  <c:v>47043</c:v>
                </c:pt>
                <c:pt idx="31">
                  <c:v>47074</c:v>
                </c:pt>
                <c:pt idx="32">
                  <c:v>47105</c:v>
                </c:pt>
                <c:pt idx="33">
                  <c:v>47136</c:v>
                </c:pt>
                <c:pt idx="34">
                  <c:v>47167</c:v>
                </c:pt>
                <c:pt idx="35">
                  <c:v>47198</c:v>
                </c:pt>
                <c:pt idx="36">
                  <c:v>47229</c:v>
                </c:pt>
                <c:pt idx="37">
                  <c:v>47260</c:v>
                </c:pt>
                <c:pt idx="38">
                  <c:v>47291</c:v>
                </c:pt>
                <c:pt idx="39">
                  <c:v>47322</c:v>
                </c:pt>
                <c:pt idx="40">
                  <c:v>47353</c:v>
                </c:pt>
                <c:pt idx="41">
                  <c:v>47384</c:v>
                </c:pt>
                <c:pt idx="42">
                  <c:v>47415</c:v>
                </c:pt>
                <c:pt idx="43">
                  <c:v>47446</c:v>
                </c:pt>
                <c:pt idx="44">
                  <c:v>47477</c:v>
                </c:pt>
                <c:pt idx="45">
                  <c:v>47508</c:v>
                </c:pt>
                <c:pt idx="46">
                  <c:v>47539</c:v>
                </c:pt>
                <c:pt idx="47">
                  <c:v>47570</c:v>
                </c:pt>
              </c:numCache>
            </c:numRef>
          </c:cat>
          <c:val>
            <c:numRef>
              <c:f>'project funding (in Nominal)'!$D$34:$AY$34</c:f>
              <c:numCache>
                <c:formatCode>#,##0</c:formatCode>
                <c:ptCount val="48"/>
                <c:pt idx="0">
                  <c:v>0</c:v>
                </c:pt>
                <c:pt idx="1">
                  <c:v>0</c:v>
                </c:pt>
                <c:pt idx="2">
                  <c:v>0</c:v>
                </c:pt>
                <c:pt idx="3">
                  <c:v>0</c:v>
                </c:pt>
                <c:pt idx="4">
                  <c:v>0</c:v>
                </c:pt>
                <c:pt idx="5">
                  <c:v>0</c:v>
                </c:pt>
                <c:pt idx="6">
                  <c:v>15000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1-3350-4FD9-ABAA-CBE7E7D4DA04}"/>
            </c:ext>
          </c:extLst>
        </c:ser>
        <c:ser>
          <c:idx val="5"/>
          <c:order val="3"/>
          <c:tx>
            <c:strRef>
              <c:f>'project funding (in Nominal)'!$A$27</c:f>
              <c:strCache>
                <c:ptCount val="1"/>
                <c:pt idx="0">
                  <c:v>Net Cash Flow before project funding - Nominal</c:v>
                </c:pt>
              </c:strCache>
            </c:strRef>
          </c:tx>
          <c:spPr>
            <a:solidFill>
              <a:schemeClr val="bg1">
                <a:lumMod val="65000"/>
              </a:schemeClr>
            </a:solidFill>
            <a:ln w="60325">
              <a:noFill/>
            </a:ln>
          </c:spPr>
          <c:invertIfNegative val="0"/>
          <c:cat>
            <c:numRef>
              <c:f>'project funding (in Nominal)'!$D$18:$AY$18</c:f>
              <c:numCache>
                <c:formatCode>mmm\ yyyy</c:formatCode>
                <c:ptCount val="48"/>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pt idx="12">
                  <c:v>46485</c:v>
                </c:pt>
                <c:pt idx="13">
                  <c:v>46516</c:v>
                </c:pt>
                <c:pt idx="14">
                  <c:v>46547</c:v>
                </c:pt>
                <c:pt idx="15">
                  <c:v>46578</c:v>
                </c:pt>
                <c:pt idx="16">
                  <c:v>46609</c:v>
                </c:pt>
                <c:pt idx="17">
                  <c:v>46640</c:v>
                </c:pt>
                <c:pt idx="18">
                  <c:v>46671</c:v>
                </c:pt>
                <c:pt idx="19">
                  <c:v>46702</c:v>
                </c:pt>
                <c:pt idx="20">
                  <c:v>46733</c:v>
                </c:pt>
                <c:pt idx="21">
                  <c:v>46764</c:v>
                </c:pt>
                <c:pt idx="22">
                  <c:v>46795</c:v>
                </c:pt>
                <c:pt idx="23">
                  <c:v>46826</c:v>
                </c:pt>
                <c:pt idx="24">
                  <c:v>46857</c:v>
                </c:pt>
                <c:pt idx="25">
                  <c:v>46888</c:v>
                </c:pt>
                <c:pt idx="26">
                  <c:v>46919</c:v>
                </c:pt>
                <c:pt idx="27">
                  <c:v>46950</c:v>
                </c:pt>
                <c:pt idx="28">
                  <c:v>46981</c:v>
                </c:pt>
                <c:pt idx="29">
                  <c:v>47012</c:v>
                </c:pt>
                <c:pt idx="30">
                  <c:v>47043</c:v>
                </c:pt>
                <c:pt idx="31">
                  <c:v>47074</c:v>
                </c:pt>
                <c:pt idx="32">
                  <c:v>47105</c:v>
                </c:pt>
                <c:pt idx="33">
                  <c:v>47136</c:v>
                </c:pt>
                <c:pt idx="34">
                  <c:v>47167</c:v>
                </c:pt>
                <c:pt idx="35">
                  <c:v>47198</c:v>
                </c:pt>
                <c:pt idx="36">
                  <c:v>47229</c:v>
                </c:pt>
                <c:pt idx="37">
                  <c:v>47260</c:v>
                </c:pt>
                <c:pt idx="38">
                  <c:v>47291</c:v>
                </c:pt>
                <c:pt idx="39">
                  <c:v>47322</c:v>
                </c:pt>
                <c:pt idx="40">
                  <c:v>47353</c:v>
                </c:pt>
                <c:pt idx="41">
                  <c:v>47384</c:v>
                </c:pt>
                <c:pt idx="42">
                  <c:v>47415</c:v>
                </c:pt>
                <c:pt idx="43">
                  <c:v>47446</c:v>
                </c:pt>
                <c:pt idx="44">
                  <c:v>47477</c:v>
                </c:pt>
                <c:pt idx="45">
                  <c:v>47508</c:v>
                </c:pt>
                <c:pt idx="46">
                  <c:v>47539</c:v>
                </c:pt>
                <c:pt idx="47">
                  <c:v>47570</c:v>
                </c:pt>
              </c:numCache>
            </c:numRef>
          </c:cat>
          <c:val>
            <c:numRef>
              <c:f>'project funding (in Nominal)'!$D$27:$AY$27</c:f>
              <c:numCache>
                <c:formatCode>#,##0_);[Red]\(#,##0\)</c:formatCode>
                <c:ptCount val="48"/>
                <c:pt idx="0">
                  <c:v>-1100.9162850401781</c:v>
                </c:pt>
                <c:pt idx="1">
                  <c:v>-10216.396976219748</c:v>
                </c:pt>
                <c:pt idx="2">
                  <c:v>-17536.492496851326</c:v>
                </c:pt>
                <c:pt idx="3">
                  <c:v>-24880.959957004517</c:v>
                </c:pt>
                <c:pt idx="4">
                  <c:v>-12099.422154860335</c:v>
                </c:pt>
                <c:pt idx="5">
                  <c:v>-22670.326720843546</c:v>
                </c:pt>
                <c:pt idx="6">
                  <c:v>7170.1248631078624</c:v>
                </c:pt>
                <c:pt idx="7">
                  <c:v>5272.6318584461978</c:v>
                </c:pt>
                <c:pt idx="8">
                  <c:v>5297.1800233151753</c:v>
                </c:pt>
                <c:pt idx="9">
                  <c:v>5321.8217786597452</c:v>
                </c:pt>
                <c:pt idx="10">
                  <c:v>5346.5543530434434</c:v>
                </c:pt>
                <c:pt idx="11">
                  <c:v>5371.3749640430078</c:v>
                </c:pt>
                <c:pt idx="12">
                  <c:v>5396.2808173549229</c:v>
                </c:pt>
                <c:pt idx="13">
                  <c:v>5421.2691059038934</c:v>
                </c:pt>
                <c:pt idx="14">
                  <c:v>5446.3370089529499</c:v>
                </c:pt>
                <c:pt idx="15">
                  <c:v>5471.4816912150109</c:v>
                </c:pt>
                <c:pt idx="16">
                  <c:v>5496.7003019656649</c:v>
                </c:pt>
                <c:pt idx="17">
                  <c:v>5521.9899741569207</c:v>
                </c:pt>
                <c:pt idx="18">
                  <c:v>5547.3478235317361</c:v>
                </c:pt>
                <c:pt idx="19">
                  <c:v>5572.7709477391036</c:v>
                </c:pt>
                <c:pt idx="20">
                  <c:v>5598.2564254494328</c:v>
                </c:pt>
                <c:pt idx="21">
                  <c:v>5623.8013154700593</c:v>
                </c:pt>
                <c:pt idx="22">
                  <c:v>5649.4026558606583</c:v>
                </c:pt>
                <c:pt idx="23">
                  <c:v>5675.0574630483179</c:v>
                </c:pt>
                <c:pt idx="24">
                  <c:v>5700.7627309420823</c:v>
                </c:pt>
                <c:pt idx="25">
                  <c:v>5726.5154300467511</c:v>
                </c:pt>
                <c:pt idx="26">
                  <c:v>5752.3125065757313</c:v>
                </c:pt>
                <c:pt idx="27">
                  <c:v>5778.1508815627221</c:v>
                </c:pt>
                <c:pt idx="28">
                  <c:v>5804.0274499720208</c:v>
                </c:pt>
                <c:pt idx="29">
                  <c:v>5829.9390798072582</c:v>
                </c:pt>
                <c:pt idx="30">
                  <c:v>5855.8826112183533</c:v>
                </c:pt>
                <c:pt idx="31">
                  <c:v>5881.8548556064852</c:v>
                </c:pt>
                <c:pt idx="32">
                  <c:v>5907.8525947268472</c:v>
                </c:pt>
                <c:pt idx="33">
                  <c:v>5933.8725797890675</c:v>
                </c:pt>
                <c:pt idx="34">
                  <c:v>5959.911530554964</c:v>
                </c:pt>
                <c:pt idx="35">
                  <c:v>5985.9661344335791</c:v>
                </c:pt>
                <c:pt idx="36">
                  <c:v>6012.0330455731664</c:v>
                </c:pt>
                <c:pt idx="37">
                  <c:v>6038.1088839500189</c:v>
                </c:pt>
                <c:pt idx="38">
                  <c:v>6064.190234453883</c:v>
                </c:pt>
                <c:pt idx="39">
                  <c:v>6090.2736459698226</c:v>
                </c:pt>
                <c:pt idx="40">
                  <c:v>6116.3556304562653</c:v>
                </c:pt>
                <c:pt idx="41">
                  <c:v>6142.4326620190805</c:v>
                </c:pt>
                <c:pt idx="42">
                  <c:v>6168.5011759814952</c:v>
                </c:pt>
                <c:pt idx="43">
                  <c:v>6194.5575679496224</c:v>
                </c:pt>
                <c:pt idx="44">
                  <c:v>6234.5300013769083</c:v>
                </c:pt>
                <c:pt idx="45">
                  <c:v>6243.2860302811478</c:v>
                </c:pt>
                <c:pt idx="46">
                  <c:v>7253.3015907014433</c:v>
                </c:pt>
                <c:pt idx="47">
                  <c:v>14070.023406790951</c:v>
                </c:pt>
              </c:numCache>
            </c:numRef>
          </c:val>
          <c:extLst>
            <c:ext xmlns:c16="http://schemas.microsoft.com/office/drawing/2014/chart" uri="{C3380CC4-5D6E-409C-BE32-E72D297353CC}">
              <c16:uniqueId val="{00000000-3350-4FD9-ABAA-CBE7E7D4DA04}"/>
            </c:ext>
          </c:extLst>
        </c:ser>
        <c:dLbls>
          <c:showLegendKey val="0"/>
          <c:showVal val="0"/>
          <c:showCatName val="0"/>
          <c:showSerName val="0"/>
          <c:showPercent val="0"/>
          <c:showBubbleSize val="0"/>
        </c:dLbls>
        <c:gapWidth val="30"/>
        <c:overlap val="100"/>
        <c:axId val="-2143009392"/>
        <c:axId val="-2143017696"/>
      </c:barChart>
      <c:lineChart>
        <c:grouping val="standard"/>
        <c:varyColors val="0"/>
        <c:ser>
          <c:idx val="2"/>
          <c:order val="1"/>
          <c:tx>
            <c:strRef>
              <c:f>'project funding (in Nominal)'!$A$61</c:f>
              <c:strCache>
                <c:ptCount val="1"/>
                <c:pt idx="0">
                  <c:v>closing balance of equity funds invested</c:v>
                </c:pt>
              </c:strCache>
            </c:strRef>
          </c:tx>
          <c:spPr>
            <a:ln w="28575">
              <a:solidFill>
                <a:srgbClr val="FFC000"/>
              </a:solidFill>
            </a:ln>
          </c:spPr>
          <c:marker>
            <c:symbol val="none"/>
          </c:marker>
          <c:cat>
            <c:numRef>
              <c:f>'project funding (in Nominal)'!$D$18:$O$18</c:f>
              <c:numCache>
                <c:formatCode>mmm\ yyyy</c:formatCode>
                <c:ptCount val="12"/>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numCache>
            </c:numRef>
          </c:cat>
          <c:val>
            <c:numRef>
              <c:f>'project funding (in Nominal)'!$D$61:$AY$61</c:f>
              <c:numCache>
                <c:formatCode>#,##0_);[Red]\(#,##0\)</c:formatCode>
                <c:ptCount val="48"/>
                <c:pt idx="0">
                  <c:v>552.29300299515603</c:v>
                </c:pt>
                <c:pt idx="1">
                  <c:v>5683.0234008239304</c:v>
                </c:pt>
                <c:pt idx="2">
                  <c:v>14537.083703050645</c:v>
                </c:pt>
                <c:pt idx="3">
                  <c:v>27163.300976938466</c:v>
                </c:pt>
                <c:pt idx="4">
                  <c:v>36409.221875073737</c:v>
                </c:pt>
                <c:pt idx="5">
                  <c:v>59379.54859591728</c:v>
                </c:pt>
                <c:pt idx="6">
                  <c:v>59379.54859591728</c:v>
                </c:pt>
                <c:pt idx="7">
                  <c:v>59379.54859591728</c:v>
                </c:pt>
                <c:pt idx="8">
                  <c:v>59379.54859591728</c:v>
                </c:pt>
                <c:pt idx="9">
                  <c:v>59379.54859591728</c:v>
                </c:pt>
                <c:pt idx="10">
                  <c:v>59379.54859591728</c:v>
                </c:pt>
                <c:pt idx="11">
                  <c:v>59379.54859591728</c:v>
                </c:pt>
                <c:pt idx="12">
                  <c:v>59379.54859591728</c:v>
                </c:pt>
                <c:pt idx="13">
                  <c:v>59379.54859591728</c:v>
                </c:pt>
                <c:pt idx="14">
                  <c:v>59379.54859591728</c:v>
                </c:pt>
                <c:pt idx="15">
                  <c:v>59379.54859591728</c:v>
                </c:pt>
                <c:pt idx="16">
                  <c:v>59379.54859591728</c:v>
                </c:pt>
                <c:pt idx="17">
                  <c:v>59379.54859591728</c:v>
                </c:pt>
                <c:pt idx="18">
                  <c:v>59379.54859591728</c:v>
                </c:pt>
                <c:pt idx="19">
                  <c:v>59379.54859591728</c:v>
                </c:pt>
                <c:pt idx="20">
                  <c:v>59379.54859591728</c:v>
                </c:pt>
                <c:pt idx="21">
                  <c:v>59379.54859591728</c:v>
                </c:pt>
                <c:pt idx="22">
                  <c:v>59379.54859591728</c:v>
                </c:pt>
                <c:pt idx="23">
                  <c:v>59379.54859591728</c:v>
                </c:pt>
                <c:pt idx="24">
                  <c:v>59379.54859591728</c:v>
                </c:pt>
                <c:pt idx="25">
                  <c:v>59379.54859591728</c:v>
                </c:pt>
                <c:pt idx="26">
                  <c:v>59379.54859591728</c:v>
                </c:pt>
                <c:pt idx="27">
                  <c:v>59379.54859591728</c:v>
                </c:pt>
                <c:pt idx="28">
                  <c:v>59379.54859591728</c:v>
                </c:pt>
                <c:pt idx="29">
                  <c:v>59379.54859591728</c:v>
                </c:pt>
                <c:pt idx="30">
                  <c:v>59379.54859591728</c:v>
                </c:pt>
                <c:pt idx="31">
                  <c:v>59379.54859591728</c:v>
                </c:pt>
                <c:pt idx="32">
                  <c:v>59379.54859591728</c:v>
                </c:pt>
                <c:pt idx="33">
                  <c:v>59379.54859591728</c:v>
                </c:pt>
                <c:pt idx="34">
                  <c:v>59379.54859591728</c:v>
                </c:pt>
                <c:pt idx="35">
                  <c:v>59379.54859591728</c:v>
                </c:pt>
                <c:pt idx="36">
                  <c:v>59379.54859591728</c:v>
                </c:pt>
                <c:pt idx="37">
                  <c:v>59379.54859591728</c:v>
                </c:pt>
                <c:pt idx="38">
                  <c:v>59379.54859591728</c:v>
                </c:pt>
                <c:pt idx="39">
                  <c:v>59379.54859591728</c:v>
                </c:pt>
                <c:pt idx="40">
                  <c:v>59379.54859591728</c:v>
                </c:pt>
                <c:pt idx="41">
                  <c:v>59379.54859591728</c:v>
                </c:pt>
                <c:pt idx="42">
                  <c:v>59379.54859591728</c:v>
                </c:pt>
                <c:pt idx="43">
                  <c:v>59379.54859591728</c:v>
                </c:pt>
                <c:pt idx="44">
                  <c:v>59379.54859591728</c:v>
                </c:pt>
                <c:pt idx="45">
                  <c:v>59379.54859591728</c:v>
                </c:pt>
                <c:pt idx="46">
                  <c:v>59379.54859591728</c:v>
                </c:pt>
                <c:pt idx="47">
                  <c:v>59379.54859591728</c:v>
                </c:pt>
              </c:numCache>
            </c:numRef>
          </c:val>
          <c:smooth val="0"/>
          <c:extLst>
            <c:ext xmlns:c16="http://schemas.microsoft.com/office/drawing/2014/chart" uri="{C3380CC4-5D6E-409C-BE32-E72D297353CC}">
              <c16:uniqueId val="{00000002-3350-4FD9-ABAA-CBE7E7D4DA04}"/>
            </c:ext>
          </c:extLst>
        </c:ser>
        <c:ser>
          <c:idx val="1"/>
          <c:order val="2"/>
          <c:tx>
            <c:strRef>
              <c:f>'project funding (in Nominal)'!$A$46</c:f>
              <c:strCache>
                <c:ptCount val="1"/>
                <c:pt idx="0">
                  <c:v>project loan - closing balance</c:v>
                </c:pt>
              </c:strCache>
            </c:strRef>
          </c:tx>
          <c:spPr>
            <a:ln w="28575">
              <a:solidFill>
                <a:srgbClr val="0033CC"/>
              </a:solidFill>
              <a:prstDash val="sysDash"/>
            </a:ln>
          </c:spPr>
          <c:marker>
            <c:symbol val="none"/>
          </c:marker>
          <c:cat>
            <c:numRef>
              <c:f>'project funding (in Nominal)'!$D$18:$O$18</c:f>
              <c:numCache>
                <c:formatCode>mmm\ yyyy</c:formatCode>
                <c:ptCount val="12"/>
                <c:pt idx="0">
                  <c:v>46113</c:v>
                </c:pt>
                <c:pt idx="1">
                  <c:v>46144</c:v>
                </c:pt>
                <c:pt idx="2">
                  <c:v>46175</c:v>
                </c:pt>
                <c:pt idx="3">
                  <c:v>46206</c:v>
                </c:pt>
                <c:pt idx="4">
                  <c:v>46237</c:v>
                </c:pt>
                <c:pt idx="5">
                  <c:v>46268</c:v>
                </c:pt>
                <c:pt idx="6">
                  <c:v>46299</c:v>
                </c:pt>
                <c:pt idx="7">
                  <c:v>46330</c:v>
                </c:pt>
                <c:pt idx="8">
                  <c:v>46361</c:v>
                </c:pt>
                <c:pt idx="9">
                  <c:v>46392</c:v>
                </c:pt>
                <c:pt idx="10">
                  <c:v>46423</c:v>
                </c:pt>
                <c:pt idx="11">
                  <c:v>46454</c:v>
                </c:pt>
              </c:numCache>
            </c:numRef>
          </c:cat>
          <c:val>
            <c:numRef>
              <c:f>'project funding (in Nominal)'!$D$46:$AY$46</c:f>
              <c:numCache>
                <c:formatCode>#,##0_);[Red]\(#,##0\)</c:formatCode>
                <c:ptCount val="48"/>
                <c:pt idx="0">
                  <c:v>550.45814252008904</c:v>
                </c:pt>
                <c:pt idx="1">
                  <c:v>5658.6566306299628</c:v>
                </c:pt>
                <c:pt idx="2">
                  <c:v>14426.902879055626</c:v>
                </c:pt>
                <c:pt idx="3">
                  <c:v>26867.382857557885</c:v>
                </c:pt>
                <c:pt idx="4">
                  <c:v>30000</c:v>
                </c:pt>
                <c:pt idx="5">
                  <c:v>30000</c:v>
                </c:pt>
                <c:pt idx="6">
                  <c:v>7829.8751368921367</c:v>
                </c:pt>
                <c:pt idx="7">
                  <c:v>2557.2432784459388</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smooth val="0"/>
          <c:extLst>
            <c:ext xmlns:c16="http://schemas.microsoft.com/office/drawing/2014/chart" uri="{C3380CC4-5D6E-409C-BE32-E72D297353CC}">
              <c16:uniqueId val="{00000003-3350-4FD9-ABAA-CBE7E7D4DA04}"/>
            </c:ext>
          </c:extLst>
        </c:ser>
        <c:dLbls>
          <c:showLegendKey val="0"/>
          <c:showVal val="0"/>
          <c:showCatName val="0"/>
          <c:showSerName val="0"/>
          <c:showPercent val="0"/>
          <c:showBubbleSize val="0"/>
        </c:dLbls>
        <c:marker val="1"/>
        <c:smooth val="0"/>
        <c:axId val="-2143009392"/>
        <c:axId val="-2143017696"/>
      </c:lineChart>
      <c:dateAx>
        <c:axId val="-2143009392"/>
        <c:scaling>
          <c:orientation val="minMax"/>
        </c:scaling>
        <c:delete val="0"/>
        <c:axPos val="b"/>
        <c:numFmt formatCode="mmm\ yyyy" sourceLinked="1"/>
        <c:majorTickMark val="out"/>
        <c:minorTickMark val="none"/>
        <c:tickLblPos val="nextTo"/>
        <c:txPr>
          <a:bodyPr/>
          <a:lstStyle/>
          <a:p>
            <a:pPr>
              <a:defRPr sz="900"/>
            </a:pPr>
            <a:endParaRPr lang="en-US"/>
          </a:p>
        </c:txPr>
        <c:crossAx val="-2143017696"/>
        <c:crosses val="autoZero"/>
        <c:auto val="1"/>
        <c:lblOffset val="100"/>
        <c:baseTimeUnit val="months"/>
      </c:dateAx>
      <c:valAx>
        <c:axId val="-2143017696"/>
        <c:scaling>
          <c:orientation val="minMax"/>
        </c:scaling>
        <c:delete val="0"/>
        <c:axPos val="l"/>
        <c:majorGridlines/>
        <c:title>
          <c:tx>
            <c:rich>
              <a:bodyPr rot="-5400000" vert="horz"/>
              <a:lstStyle/>
              <a:p>
                <a:pPr>
                  <a:defRPr sz="1200" b="1"/>
                </a:pPr>
                <a:r>
                  <a:rPr lang="en-US" sz="1200" b="1"/>
                  <a:t>$ Nominal</a:t>
                </a:r>
              </a:p>
            </c:rich>
          </c:tx>
          <c:layout>
            <c:manualLayout>
              <c:xMode val="edge"/>
              <c:yMode val="edge"/>
              <c:x val="1.0323822279946999E-2"/>
              <c:y val="0.29426808438146801"/>
            </c:manualLayout>
          </c:layout>
          <c:overlay val="0"/>
        </c:title>
        <c:numFmt formatCode="#,##0" sourceLinked="0"/>
        <c:majorTickMark val="out"/>
        <c:minorTickMark val="none"/>
        <c:tickLblPos val="nextTo"/>
        <c:txPr>
          <a:bodyPr/>
          <a:lstStyle/>
          <a:p>
            <a:pPr>
              <a:defRPr sz="1000" b="1" baseline="0"/>
            </a:pPr>
            <a:endParaRPr lang="en-US"/>
          </a:p>
        </c:txPr>
        <c:crossAx val="-2143009392"/>
        <c:crosses val="autoZero"/>
        <c:crossBetween val="between"/>
      </c:valAx>
    </c:plotArea>
    <c:legend>
      <c:legendPos val="r"/>
      <c:layout>
        <c:manualLayout>
          <c:xMode val="edge"/>
          <c:yMode val="edge"/>
          <c:x val="0.63309415548408565"/>
          <c:y val="0.12389092114653"/>
          <c:w val="0.3669058445159144"/>
          <c:h val="0.79550082317596249"/>
        </c:manualLayout>
      </c:layout>
      <c:overlay val="0"/>
      <c:spPr>
        <a:solidFill>
          <a:schemeClr val="bg1"/>
        </a:solidFill>
      </c:spPr>
      <c:txPr>
        <a:bodyPr/>
        <a:lstStyle/>
        <a:p>
          <a:pPr>
            <a:defRPr sz="1100" b="0" i="1"/>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257176</xdr:colOff>
      <xdr:row>20</xdr:row>
      <xdr:rowOff>28576</xdr:rowOff>
    </xdr:from>
    <xdr:to>
      <xdr:col>2</xdr:col>
      <xdr:colOff>949325</xdr:colOff>
      <xdr:row>29</xdr:row>
      <xdr:rowOff>66676</xdr:rowOff>
    </xdr:to>
    <xdr:graphicFrame macro="">
      <xdr:nvGraphicFramePr>
        <xdr:cNvPr id="8322371" name="Chart 1">
          <a:extLst>
            <a:ext uri="{FF2B5EF4-FFF2-40B4-BE49-F238E27FC236}">
              <a16:creationId xmlns:a16="http://schemas.microsoft.com/office/drawing/2014/main" id="{00000000-0008-0000-0100-000043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274321</xdr:colOff>
      <xdr:row>29</xdr:row>
      <xdr:rowOff>151130</xdr:rowOff>
    </xdr:from>
    <xdr:to>
      <xdr:col>1</xdr:col>
      <xdr:colOff>485776</xdr:colOff>
      <xdr:row>41</xdr:row>
      <xdr:rowOff>53975</xdr:rowOff>
    </xdr:to>
    <xdr:graphicFrame macro="">
      <xdr:nvGraphicFramePr>
        <xdr:cNvPr id="8322372" name="Chart 2">
          <a:extLst>
            <a:ext uri="{FF2B5EF4-FFF2-40B4-BE49-F238E27FC236}">
              <a16:creationId xmlns:a16="http://schemas.microsoft.com/office/drawing/2014/main" id="{00000000-0008-0000-0100-000044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266700</xdr:colOff>
      <xdr:row>9</xdr:row>
      <xdr:rowOff>343535</xdr:rowOff>
    </xdr:from>
    <xdr:to>
      <xdr:col>1</xdr:col>
      <xdr:colOff>409575</xdr:colOff>
      <xdr:row>19</xdr:row>
      <xdr:rowOff>171450</xdr:rowOff>
    </xdr:to>
    <xdr:graphicFrame macro="">
      <xdr:nvGraphicFramePr>
        <xdr:cNvPr id="8322374" name="Chart 3">
          <a:extLst>
            <a:ext uri="{FF2B5EF4-FFF2-40B4-BE49-F238E27FC236}">
              <a16:creationId xmlns:a16="http://schemas.microsoft.com/office/drawing/2014/main" id="{00000000-0008-0000-0100-000046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607243</xdr:colOff>
      <xdr:row>41</xdr:row>
      <xdr:rowOff>145325</xdr:rowOff>
    </xdr:from>
    <xdr:to>
      <xdr:col>4</xdr:col>
      <xdr:colOff>815975</xdr:colOff>
      <xdr:row>54</xdr:row>
      <xdr:rowOff>28576</xdr:rowOff>
    </xdr:to>
    <xdr:graphicFrame macro="">
      <xdr:nvGraphicFramePr>
        <xdr:cNvPr id="8322375" name="Chart 2">
          <a:extLst>
            <a:ext uri="{FF2B5EF4-FFF2-40B4-BE49-F238E27FC236}">
              <a16:creationId xmlns:a16="http://schemas.microsoft.com/office/drawing/2014/main" id="{00000000-0008-0000-0100-000047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254635</xdr:colOff>
      <xdr:row>41</xdr:row>
      <xdr:rowOff>151766</xdr:rowOff>
    </xdr:from>
    <xdr:to>
      <xdr:col>1</xdr:col>
      <xdr:colOff>495300</xdr:colOff>
      <xdr:row>50</xdr:row>
      <xdr:rowOff>19050</xdr:rowOff>
    </xdr:to>
    <xdr:graphicFrame macro="">
      <xdr:nvGraphicFramePr>
        <xdr:cNvPr id="8322376" name="Chart 2">
          <a:extLst>
            <a:ext uri="{FF2B5EF4-FFF2-40B4-BE49-F238E27FC236}">
              <a16:creationId xmlns:a16="http://schemas.microsoft.com/office/drawing/2014/main" id="{00000000-0008-0000-0100-000048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244475</xdr:colOff>
      <xdr:row>50</xdr:row>
      <xdr:rowOff>63500</xdr:rowOff>
    </xdr:from>
    <xdr:to>
      <xdr:col>1</xdr:col>
      <xdr:colOff>514350</xdr:colOff>
      <xdr:row>58</xdr:row>
      <xdr:rowOff>123825</xdr:rowOff>
    </xdr:to>
    <xdr:graphicFrame macro="">
      <xdr:nvGraphicFramePr>
        <xdr:cNvPr id="8322377" name="Chart 2">
          <a:extLst>
            <a:ext uri="{FF2B5EF4-FFF2-40B4-BE49-F238E27FC236}">
              <a16:creationId xmlns:a16="http://schemas.microsoft.com/office/drawing/2014/main" id="{00000000-0008-0000-0100-000049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942975</xdr:colOff>
      <xdr:row>3</xdr:row>
      <xdr:rowOff>6351</xdr:rowOff>
    </xdr:from>
    <xdr:to>
      <xdr:col>8</xdr:col>
      <xdr:colOff>269421</xdr:colOff>
      <xdr:row>5</xdr:row>
      <xdr:rowOff>171450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972675" y="1273176"/>
          <a:ext cx="4469946" cy="622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a:solidFill>
                <a:schemeClr val="bg1">
                  <a:lumMod val="50000"/>
                </a:schemeClr>
              </a:solidFill>
            </a:rPr>
            <a:t>Look at the profile of all these graphs over the months.</a:t>
          </a:r>
        </a:p>
        <a:p>
          <a:pPr marL="0" marR="0" lvl="0" indent="0" algn="ctr" defTabSz="914400" eaLnBrk="1" fontAlgn="auto" latinLnBrk="0" hangingPunct="1">
            <a:lnSpc>
              <a:spcPct val="100000"/>
            </a:lnSpc>
            <a:spcBef>
              <a:spcPts val="0"/>
            </a:spcBef>
            <a:spcAft>
              <a:spcPts val="0"/>
            </a:spcAft>
            <a:buClrTx/>
            <a:buSzTx/>
            <a:buFontTx/>
            <a:buNone/>
            <a:tabLst/>
            <a:defRPr/>
          </a:pPr>
          <a:r>
            <a:rPr lang="en-AU" sz="1000" baseline="0">
              <a:solidFill>
                <a:schemeClr val="bg1">
                  <a:lumMod val="50000"/>
                </a:schemeClr>
              </a:solidFill>
            </a:rPr>
            <a:t>The need for working capital to start operations and sales is important!</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0" i="0" u="none" strike="noStrike" kern="0" cap="none" spc="0" normalizeH="0" baseline="0" noProof="0">
              <a:ln>
                <a:noFill/>
              </a:ln>
              <a:solidFill>
                <a:prstClr val="white">
                  <a:lumMod val="50000"/>
                </a:prstClr>
              </a:solidFill>
              <a:effectLst/>
              <a:uLnTx/>
              <a:uFillTx/>
              <a:latin typeface="+mn-lt"/>
              <a:ea typeface="+mn-ea"/>
              <a:cs typeface="+mn-cs"/>
            </a:rPr>
            <a:t>Is this a healthy, sound business or are the margins (green) thin?</a:t>
          </a:r>
        </a:p>
        <a:p>
          <a:pPr algn="ctr"/>
          <a:endParaRPr lang="en-AU" sz="1000" baseline="0">
            <a:solidFill>
              <a:schemeClr val="bg1">
                <a:lumMod val="50000"/>
              </a:schemeClr>
            </a:solidFill>
          </a:endParaRPr>
        </a:p>
        <a:p>
          <a:pPr algn="ctr"/>
          <a:endParaRPr lang="en-AU" sz="1000" baseline="0">
            <a:solidFill>
              <a:schemeClr val="bg1">
                <a:lumMod val="50000"/>
              </a:schemeClr>
            </a:solidFill>
          </a:endParaRPr>
        </a:p>
        <a:p>
          <a:pPr algn="ctr"/>
          <a:endParaRPr lang="en-AU" sz="1000" baseline="0">
            <a:solidFill>
              <a:schemeClr val="bg1">
                <a:lumMod val="50000"/>
              </a:schemeClr>
            </a:solidFill>
          </a:endParaRPr>
        </a:p>
      </xdr:txBody>
    </xdr:sp>
    <xdr:clientData/>
  </xdr:twoCellAnchor>
  <xdr:twoCellAnchor>
    <xdr:from>
      <xdr:col>2</xdr:col>
      <xdr:colOff>1123950</xdr:colOff>
      <xdr:row>2</xdr:row>
      <xdr:rowOff>200025</xdr:rowOff>
    </xdr:from>
    <xdr:to>
      <xdr:col>4</xdr:col>
      <xdr:colOff>161925</xdr:colOff>
      <xdr:row>5</xdr:row>
      <xdr:rowOff>76200</xdr:rowOff>
    </xdr:to>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flipH="1">
          <a:off x="7343775" y="952500"/>
          <a:ext cx="1847850" cy="847725"/>
        </a:xfrm>
        <a:prstGeom prst="straightConnector1">
          <a:avLst/>
        </a:prstGeom>
        <a:ln w="25400" cap="flat" cmpd="sng" algn="ctr">
          <a:solidFill>
            <a:schemeClr val="accent6">
              <a:lumMod val="75000"/>
            </a:schemeClr>
          </a:solidFill>
          <a:prstDash val="dash"/>
          <a:round/>
          <a:headEnd type="none" w="med" len="med"/>
          <a:tailEnd type="stealth"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549275</xdr:colOff>
      <xdr:row>29</xdr:row>
      <xdr:rowOff>153671</xdr:rowOff>
    </xdr:from>
    <xdr:to>
      <xdr:col>4</xdr:col>
      <xdr:colOff>739775</xdr:colOff>
      <xdr:row>41</xdr:row>
      <xdr:rowOff>34925</xdr:rowOff>
    </xdr:to>
    <xdr:graphicFrame macro="">
      <xdr:nvGraphicFramePr>
        <xdr:cNvPr id="14" name="Chart 2">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3819525</xdr:colOff>
      <xdr:row>5</xdr:row>
      <xdr:rowOff>173265</xdr:rowOff>
    </xdr:from>
    <xdr:to>
      <xdr:col>3</xdr:col>
      <xdr:colOff>1197430</xdr:colOff>
      <xdr:row>24</xdr:row>
      <xdr:rowOff>152400</xdr:rowOff>
    </xdr:to>
    <xdr:cxnSp macro="">
      <xdr:nvCxnSpPr>
        <xdr:cNvPr id="15" name="Straight Arrow Connector 14">
          <a:extLst>
            <a:ext uri="{FF2B5EF4-FFF2-40B4-BE49-F238E27FC236}">
              <a16:creationId xmlns:a16="http://schemas.microsoft.com/office/drawing/2014/main" id="{C14EE9ED-24E1-44CA-8A1D-86FFD43A156E}"/>
            </a:ext>
          </a:extLst>
        </xdr:cNvPr>
        <xdr:cNvCxnSpPr/>
      </xdr:nvCxnSpPr>
      <xdr:spPr>
        <a:xfrm flipH="1">
          <a:off x="3819525" y="1897290"/>
          <a:ext cx="5121730" cy="4713060"/>
        </a:xfrm>
        <a:prstGeom prst="straightConnector1">
          <a:avLst/>
        </a:prstGeom>
        <a:ln w="25400" cap="flat" cmpd="sng" algn="ctr">
          <a:solidFill>
            <a:schemeClr val="accent6">
              <a:lumMod val="75000"/>
            </a:schemeClr>
          </a:solidFill>
          <a:prstDash val="dash"/>
          <a:round/>
          <a:headEnd type="none" w="med" len="med"/>
          <a:tailEnd type="stealth"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1</xdr:colOff>
      <xdr:row>2</xdr:row>
      <xdr:rowOff>0</xdr:rowOff>
    </xdr:from>
    <xdr:to>
      <xdr:col>7</xdr:col>
      <xdr:colOff>1152526</xdr:colOff>
      <xdr:row>9</xdr:row>
      <xdr:rowOff>63500</xdr:rowOff>
    </xdr:to>
    <xdr:sp macro="" textlink="">
      <xdr:nvSpPr>
        <xdr:cNvPr id="5" name="TextBox 4">
          <a:extLst>
            <a:ext uri="{FF2B5EF4-FFF2-40B4-BE49-F238E27FC236}">
              <a16:creationId xmlns:a16="http://schemas.microsoft.com/office/drawing/2014/main" id="{DFDFFBFE-2C77-4685-8653-82CB9D829E86}"/>
            </a:ext>
          </a:extLst>
        </xdr:cNvPr>
        <xdr:cNvSpPr txBox="1"/>
      </xdr:nvSpPr>
      <xdr:spPr>
        <a:xfrm>
          <a:off x="9029701" y="752475"/>
          <a:ext cx="5010150" cy="1854200"/>
        </a:xfrm>
        <a:prstGeom prst="rect">
          <a:avLst/>
        </a:prstGeom>
        <a:solidFill>
          <a:schemeClr val="lt1"/>
        </a:solidFill>
        <a:ln w="9525" cmpd="sng">
          <a:solidFill>
            <a:srgbClr val="FF33CC"/>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b="0">
              <a:solidFill>
                <a:schemeClr val="accent6">
                  <a:lumMod val="75000"/>
                </a:schemeClr>
              </a:solidFill>
            </a:rPr>
            <a:t>The NPV  and IRR are nothing</a:t>
          </a:r>
          <a:r>
            <a:rPr lang="en-AU" sz="1100" b="0" baseline="0">
              <a:solidFill>
                <a:schemeClr val="accent6">
                  <a:lumMod val="75000"/>
                </a:schemeClr>
              </a:solidFill>
            </a:rPr>
            <a:t> more than the</a:t>
          </a:r>
          <a:r>
            <a:rPr lang="en-AU" sz="1100" b="0">
              <a:solidFill>
                <a:schemeClr val="accent6">
                  <a:lumMod val="75000"/>
                </a:schemeClr>
              </a:solidFill>
            </a:rPr>
            <a:t> mathematical combination of many expert opinions/estimates!  </a:t>
          </a:r>
        </a:p>
        <a:p>
          <a:r>
            <a:rPr lang="en-AU" sz="1100" b="0">
              <a:solidFill>
                <a:schemeClr val="accent6">
                  <a:lumMod val="75000"/>
                </a:schemeClr>
              </a:solidFill>
            </a:rPr>
            <a:t>NPV</a:t>
          </a:r>
          <a:r>
            <a:rPr lang="en-AU" sz="1100" b="0" baseline="0">
              <a:solidFill>
                <a:schemeClr val="accent6">
                  <a:lumMod val="75000"/>
                </a:schemeClr>
              </a:solidFill>
            </a:rPr>
            <a:t> </a:t>
          </a:r>
          <a:r>
            <a:rPr lang="en-AU" sz="1100" b="0">
              <a:solidFill>
                <a:schemeClr val="accent6">
                  <a:lumMod val="75000"/>
                </a:schemeClr>
              </a:solidFill>
            </a:rPr>
            <a:t>is not an absolute truth!  </a:t>
          </a:r>
        </a:p>
        <a:p>
          <a:r>
            <a:rPr lang="en-AU" sz="1100" b="0">
              <a:solidFill>
                <a:schemeClr val="accent6">
                  <a:lumMod val="75000"/>
                </a:schemeClr>
              </a:solidFill>
            </a:rPr>
            <a:t>Do not get lost in its mathematics!</a:t>
          </a:r>
        </a:p>
        <a:p>
          <a:endParaRPr lang="en-AU" sz="1100" b="0">
            <a:solidFill>
              <a:schemeClr val="accent6">
                <a:lumMod val="75000"/>
              </a:schemeClr>
            </a:solidFill>
          </a:endParaRPr>
        </a:p>
        <a:p>
          <a:r>
            <a:rPr lang="en-AU" sz="1100" b="0">
              <a:solidFill>
                <a:schemeClr val="accent6">
                  <a:lumMod val="75000"/>
                </a:schemeClr>
              </a:solidFill>
            </a:rPr>
            <a:t>More important is understanding:</a:t>
          </a:r>
        </a:p>
        <a:p>
          <a:r>
            <a:rPr lang="en-AU" sz="1100" b="0">
              <a:solidFill>
                <a:schemeClr val="accent6">
                  <a:lumMod val="75000"/>
                </a:schemeClr>
              </a:solidFill>
            </a:rPr>
            <a:t>1. The profile and health of each</a:t>
          </a:r>
          <a:r>
            <a:rPr lang="en-AU" sz="1100" b="0" baseline="0">
              <a:solidFill>
                <a:schemeClr val="accent6">
                  <a:lumMod val="75000"/>
                </a:schemeClr>
              </a:solidFill>
            </a:rPr>
            <a:t> of these three cases as illustrated by their</a:t>
          </a:r>
          <a:r>
            <a:rPr lang="en-AU" sz="1100" b="0">
              <a:solidFill>
                <a:schemeClr val="accent6">
                  <a:lumMod val="75000"/>
                </a:schemeClr>
              </a:solidFill>
            </a:rPr>
            <a:t> graphs.</a:t>
          </a:r>
          <a:r>
            <a:rPr lang="en-AU" sz="1100" b="0" baseline="0">
              <a:solidFill>
                <a:schemeClr val="accent6">
                  <a:lumMod val="75000"/>
                </a:schemeClr>
              </a:solidFill>
            </a:rPr>
            <a:t>  </a:t>
          </a:r>
        </a:p>
        <a:p>
          <a:r>
            <a:rPr lang="en-AU" sz="1100" b="0">
              <a:solidFill>
                <a:schemeClr val="accent6">
                  <a:lumMod val="75000"/>
                </a:schemeClr>
              </a:solidFill>
            </a:rPr>
            <a:t>2. Other 'high' and 'low' variations to this case</a:t>
          </a:r>
        </a:p>
        <a:p>
          <a:endParaRPr lang="en-AU" sz="1100" b="0" baseline="0">
            <a:solidFill>
              <a:schemeClr val="accent6">
                <a:lumMod val="75000"/>
              </a:schemeClr>
            </a:solidFill>
          </a:endParaRPr>
        </a:p>
        <a:p>
          <a:r>
            <a:rPr lang="en-AU" sz="1100" b="0" baseline="0">
              <a:solidFill>
                <a:schemeClr val="accent6">
                  <a:lumMod val="75000"/>
                </a:schemeClr>
              </a:solidFill>
            </a:rPr>
            <a:t>Read more on the website!   Peter</a:t>
          </a:r>
          <a:endParaRPr lang="en-AU" sz="1100" b="0">
            <a:solidFill>
              <a:schemeClr val="accent6">
                <a:lumMod val="75000"/>
              </a:schemeClr>
            </a:solidFill>
          </a:endParaRPr>
        </a:p>
      </xdr:txBody>
    </xdr:sp>
    <xdr:clientData/>
  </xdr:twoCellAnchor>
  <xdr:twoCellAnchor>
    <xdr:from>
      <xdr:col>1</xdr:col>
      <xdr:colOff>958850</xdr:colOff>
      <xdr:row>9</xdr:row>
      <xdr:rowOff>349250</xdr:rowOff>
    </xdr:from>
    <xdr:to>
      <xdr:col>5</xdr:col>
      <xdr:colOff>76200</xdr:colOff>
      <xdr:row>19</xdr:row>
      <xdr:rowOff>200025</xdr:rowOff>
    </xdr:to>
    <xdr:graphicFrame macro="">
      <xdr:nvGraphicFramePr>
        <xdr:cNvPr id="9" name="Chart 3">
          <a:extLst>
            <a:ext uri="{FF2B5EF4-FFF2-40B4-BE49-F238E27FC236}">
              <a16:creationId xmlns:a16="http://schemas.microsoft.com/office/drawing/2014/main" id="{35707050-ABA2-4143-80CB-715E86E994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1409700</xdr:colOff>
      <xdr:row>57</xdr:row>
      <xdr:rowOff>104775</xdr:rowOff>
    </xdr:from>
    <xdr:to>
      <xdr:col>5</xdr:col>
      <xdr:colOff>419100</xdr:colOff>
      <xdr:row>58</xdr:row>
      <xdr:rowOff>161925</xdr:rowOff>
    </xdr:to>
    <xdr:sp macro="" textlink="">
      <xdr:nvSpPr>
        <xdr:cNvPr id="11" name="TextBox 10">
          <a:extLst>
            <a:ext uri="{FF2B5EF4-FFF2-40B4-BE49-F238E27FC236}">
              <a16:creationId xmlns:a16="http://schemas.microsoft.com/office/drawing/2014/main" id="{FAF66E93-79B4-4540-AC4B-A272B2E162CB}"/>
            </a:ext>
          </a:extLst>
        </xdr:cNvPr>
        <xdr:cNvSpPr txBox="1"/>
      </xdr:nvSpPr>
      <xdr:spPr>
        <a:xfrm>
          <a:off x="6105525" y="13392150"/>
          <a:ext cx="38100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accent6">
                  <a:lumMod val="75000"/>
                </a:schemeClr>
              </a:solidFill>
            </a:rPr>
            <a:t>Enter the months &amp; years only once in this whole model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3</xdr:row>
      <xdr:rowOff>35561</xdr:rowOff>
    </xdr:from>
    <xdr:to>
      <xdr:col>2</xdr:col>
      <xdr:colOff>812800</xdr:colOff>
      <xdr:row>15</xdr:row>
      <xdr:rowOff>107950</xdr:rowOff>
    </xdr:to>
    <xdr:graphicFrame macro="">
      <xdr:nvGraphicFramePr>
        <xdr:cNvPr id="2" name="Chart 1">
          <a:extLst>
            <a:ext uri="{FF2B5EF4-FFF2-40B4-BE49-F238E27FC236}">
              <a16:creationId xmlns:a16="http://schemas.microsoft.com/office/drawing/2014/main" id="{1BF0728A-A6A9-413B-B93D-80DC13D85C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476251</xdr:colOff>
      <xdr:row>26</xdr:row>
      <xdr:rowOff>349253</xdr:rowOff>
    </xdr:from>
    <xdr:to>
      <xdr:col>5</xdr:col>
      <xdr:colOff>827769</xdr:colOff>
      <xdr:row>27</xdr:row>
      <xdr:rowOff>251734</xdr:rowOff>
    </xdr:to>
    <xdr:cxnSp macro="">
      <xdr:nvCxnSpPr>
        <xdr:cNvPr id="3" name="Straight Arrow Connector 2">
          <a:extLst>
            <a:ext uri="{FF2B5EF4-FFF2-40B4-BE49-F238E27FC236}">
              <a16:creationId xmlns:a16="http://schemas.microsoft.com/office/drawing/2014/main" id="{32CBF068-281E-410B-9D41-1778F238D6EC}"/>
            </a:ext>
          </a:extLst>
        </xdr:cNvPr>
        <xdr:cNvCxnSpPr>
          <a:stCxn id="5" idx="1"/>
        </xdr:cNvCxnSpPr>
      </xdr:nvCxnSpPr>
      <xdr:spPr>
        <a:xfrm flipH="1" flipV="1">
          <a:off x="8041822" y="10690682"/>
          <a:ext cx="1276804" cy="351516"/>
        </a:xfrm>
        <a:prstGeom prst="straightConnector1">
          <a:avLst/>
        </a:prstGeom>
        <a:ln w="28575">
          <a:solidFill>
            <a:srgbClr val="189C34"/>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523875</xdr:colOff>
      <xdr:row>37</xdr:row>
      <xdr:rowOff>0</xdr:rowOff>
    </xdr:from>
    <xdr:to>
      <xdr:col>2</xdr:col>
      <xdr:colOff>1285875</xdr:colOff>
      <xdr:row>37</xdr:row>
      <xdr:rowOff>142875</xdr:rowOff>
    </xdr:to>
    <xdr:cxnSp macro="">
      <xdr:nvCxnSpPr>
        <xdr:cNvPr id="4" name="Straight Arrow Connector 3">
          <a:extLst>
            <a:ext uri="{FF2B5EF4-FFF2-40B4-BE49-F238E27FC236}">
              <a16:creationId xmlns:a16="http://schemas.microsoft.com/office/drawing/2014/main" id="{43F0E95C-3F62-45EC-A999-B632E3EB5075}"/>
            </a:ext>
          </a:extLst>
        </xdr:cNvPr>
        <xdr:cNvCxnSpPr/>
      </xdr:nvCxnSpPr>
      <xdr:spPr>
        <a:xfrm>
          <a:off x="1704975" y="9334500"/>
          <a:ext cx="66675" cy="142875"/>
        </a:xfrm>
        <a:prstGeom prst="straightConnector1">
          <a:avLst/>
        </a:prstGeom>
        <a:ln w="9525">
          <a:solidFill>
            <a:srgbClr val="0070C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827769</xdr:colOff>
      <xdr:row>27</xdr:row>
      <xdr:rowOff>68038</xdr:rowOff>
    </xdr:from>
    <xdr:to>
      <xdr:col>8</xdr:col>
      <xdr:colOff>503465</xdr:colOff>
      <xdr:row>27</xdr:row>
      <xdr:rowOff>435430</xdr:rowOff>
    </xdr:to>
    <xdr:sp macro="" textlink="">
      <xdr:nvSpPr>
        <xdr:cNvPr id="5" name="TextBox 4">
          <a:extLst>
            <a:ext uri="{FF2B5EF4-FFF2-40B4-BE49-F238E27FC236}">
              <a16:creationId xmlns:a16="http://schemas.microsoft.com/office/drawing/2014/main" id="{7AA44B4C-9217-4001-96EB-923B389279D7}"/>
            </a:ext>
          </a:extLst>
        </xdr:cNvPr>
        <xdr:cNvSpPr txBox="1"/>
      </xdr:nvSpPr>
      <xdr:spPr>
        <a:xfrm>
          <a:off x="9318626" y="10858502"/>
          <a:ext cx="2451553" cy="367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0" i="1">
              <a:solidFill>
                <a:srgbClr val="00B050"/>
              </a:solidFill>
            </a:rPr>
            <a:t>Nominal dollars are in italics</a:t>
          </a:r>
        </a:p>
        <a:p>
          <a:endParaRPr lang="en-AU" sz="1400" b="1" i="1">
            <a:solidFill>
              <a:srgbClr val="00B05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1"/>
  <sheetViews>
    <sheetView tabSelected="1" zoomScaleNormal="100" workbookViewId="0">
      <selection activeCell="B2" sqref="B2"/>
    </sheetView>
  </sheetViews>
  <sheetFormatPr defaultRowHeight="14.5" x14ac:dyDescent="0.35"/>
  <cols>
    <col min="1" max="1" width="27.453125" customWidth="1"/>
    <col min="2" max="2" width="14.453125" customWidth="1"/>
    <col min="3" max="3" width="19.7265625" customWidth="1"/>
  </cols>
  <sheetData>
    <row r="1" spans="1:19" ht="20" x14ac:dyDescent="0.35">
      <c r="A1" s="114" t="s">
        <v>195</v>
      </c>
      <c r="B1" s="82"/>
      <c r="C1" s="82"/>
      <c r="D1" s="82"/>
      <c r="E1" s="82"/>
      <c r="F1" s="82"/>
      <c r="G1" s="82"/>
      <c r="H1" s="82"/>
      <c r="I1" s="82"/>
      <c r="J1" s="83"/>
      <c r="K1" s="83"/>
      <c r="L1" s="83"/>
      <c r="M1" s="83"/>
      <c r="N1" s="83"/>
      <c r="O1" s="83"/>
      <c r="P1" s="83"/>
      <c r="Q1" s="83"/>
      <c r="R1" s="83"/>
      <c r="S1" s="83"/>
    </row>
    <row r="2" spans="1:19" ht="20" customHeight="1" x14ac:dyDescent="0.35">
      <c r="A2" s="84" t="s">
        <v>0</v>
      </c>
      <c r="B2" s="7"/>
      <c r="C2" s="7"/>
      <c r="D2" s="7"/>
      <c r="E2" s="7"/>
      <c r="F2" s="7"/>
      <c r="G2" s="7"/>
      <c r="H2" s="7"/>
      <c r="I2" s="7"/>
      <c r="J2" s="39"/>
      <c r="K2" s="39"/>
      <c r="L2" s="39"/>
      <c r="M2" s="39"/>
      <c r="N2" s="7"/>
      <c r="O2" s="7"/>
      <c r="P2" s="7"/>
      <c r="Q2" s="7"/>
      <c r="R2" s="7"/>
      <c r="S2" s="7"/>
    </row>
    <row r="3" spans="1:19" x14ac:dyDescent="0.35">
      <c r="A3" s="85" t="s">
        <v>141</v>
      </c>
      <c r="B3" s="7"/>
      <c r="C3" s="7"/>
      <c r="D3" s="7"/>
      <c r="E3" s="7"/>
      <c r="F3" s="7"/>
      <c r="G3" s="7"/>
      <c r="H3" s="7"/>
      <c r="I3" s="7"/>
      <c r="J3" s="70"/>
      <c r="K3" s="70"/>
      <c r="L3" s="70"/>
      <c r="M3" s="70"/>
      <c r="N3" s="7"/>
      <c r="O3" s="7"/>
      <c r="P3" s="7"/>
      <c r="Q3" s="7"/>
      <c r="R3" s="7"/>
      <c r="S3" s="7"/>
    </row>
    <row r="4" spans="1:19" ht="20" customHeight="1" x14ac:dyDescent="0.35">
      <c r="A4" s="84" t="s">
        <v>1</v>
      </c>
      <c r="B4" s="7"/>
      <c r="C4" s="7"/>
      <c r="D4" s="7"/>
      <c r="E4" s="7"/>
      <c r="F4" s="7"/>
      <c r="G4" s="7"/>
      <c r="H4" s="7"/>
      <c r="I4" s="7"/>
      <c r="J4" s="39"/>
      <c r="K4" s="39"/>
      <c r="L4" s="39"/>
      <c r="M4" s="39"/>
      <c r="N4" s="7"/>
      <c r="O4" s="7"/>
      <c r="P4" s="7"/>
      <c r="Q4" s="7"/>
      <c r="R4" s="7"/>
      <c r="S4" s="7"/>
    </row>
    <row r="5" spans="1:19" x14ac:dyDescent="0.35">
      <c r="A5" s="86" t="s">
        <v>193</v>
      </c>
      <c r="B5" s="17"/>
      <c r="C5" s="17"/>
      <c r="D5" s="17"/>
      <c r="E5" s="17"/>
      <c r="F5" s="17"/>
      <c r="G5" s="17"/>
      <c r="H5" s="17"/>
      <c r="I5" s="17"/>
      <c r="J5" s="70"/>
      <c r="K5" s="70"/>
      <c r="L5" s="70"/>
      <c r="M5" s="70"/>
    </row>
    <row r="6" spans="1:19" x14ac:dyDescent="0.35">
      <c r="A6" s="86" t="s">
        <v>142</v>
      </c>
      <c r="B6" s="17"/>
      <c r="C6" s="17"/>
      <c r="D6" s="17"/>
      <c r="E6" s="17"/>
      <c r="F6" s="17"/>
      <c r="G6" s="17"/>
      <c r="H6" s="17"/>
      <c r="I6" s="17"/>
      <c r="J6" s="70"/>
      <c r="K6" s="70"/>
      <c r="L6" s="70"/>
      <c r="M6" s="70"/>
    </row>
    <row r="7" spans="1:19" ht="15.5" x14ac:dyDescent="0.35">
      <c r="A7" s="86" t="s">
        <v>194</v>
      </c>
      <c r="B7" s="5"/>
      <c r="C7" s="1"/>
      <c r="D7" s="1"/>
      <c r="E7" s="1"/>
      <c r="F7" s="1"/>
      <c r="G7" s="1"/>
      <c r="H7" s="1"/>
      <c r="I7" s="1"/>
      <c r="J7" s="1"/>
      <c r="K7" s="1"/>
      <c r="L7" s="1"/>
      <c r="M7" s="1"/>
    </row>
    <row r="8" spans="1:19" ht="15.5" x14ac:dyDescent="0.35">
      <c r="A8" s="86" t="s">
        <v>143</v>
      </c>
      <c r="B8" s="5"/>
      <c r="C8" s="1"/>
      <c r="D8" s="1"/>
      <c r="E8" s="1"/>
      <c r="F8" s="1"/>
      <c r="G8" s="1"/>
      <c r="H8" s="1"/>
      <c r="I8" s="1"/>
      <c r="J8" s="1"/>
      <c r="K8" s="1"/>
      <c r="L8" s="1"/>
      <c r="M8" s="1"/>
    </row>
    <row r="9" spans="1:19" ht="15.5" x14ac:dyDescent="0.35">
      <c r="A9" s="86" t="s">
        <v>144</v>
      </c>
      <c r="B9" s="5"/>
      <c r="C9" s="1"/>
      <c r="D9" s="1"/>
      <c r="E9" s="1"/>
      <c r="F9" s="1"/>
      <c r="G9" s="1"/>
      <c r="H9" s="1"/>
      <c r="I9" s="1"/>
      <c r="J9" s="1"/>
      <c r="K9" s="1"/>
      <c r="L9" s="1"/>
      <c r="M9" s="1"/>
    </row>
    <row r="10" spans="1:19" ht="33.75" customHeight="1" x14ac:dyDescent="0.45">
      <c r="A10" s="76" t="s">
        <v>69</v>
      </c>
      <c r="B10" s="17"/>
      <c r="C10" s="17"/>
      <c r="D10" s="17"/>
      <c r="E10" s="17"/>
      <c r="F10" s="17"/>
      <c r="G10" s="17"/>
      <c r="H10" s="17"/>
      <c r="I10" s="17"/>
      <c r="J10" s="70"/>
      <c r="K10" s="70"/>
      <c r="L10" s="70"/>
      <c r="M10" s="70"/>
    </row>
    <row r="11" spans="1:19" s="90" customFormat="1" ht="18.5" x14ac:dyDescent="0.45">
      <c r="A11" s="87" t="s">
        <v>70</v>
      </c>
      <c r="B11" s="88"/>
      <c r="C11" s="89"/>
      <c r="E11" s="91"/>
      <c r="F11" s="92"/>
      <c r="G11" s="92"/>
      <c r="H11" s="92"/>
      <c r="I11" s="92"/>
      <c r="J11" s="93"/>
      <c r="K11" s="93"/>
      <c r="L11" s="93"/>
      <c r="M11" s="94"/>
    </row>
    <row r="12" spans="1:19" ht="15.5" x14ac:dyDescent="0.35">
      <c r="A12" s="95" t="s">
        <v>145</v>
      </c>
      <c r="B12" s="5"/>
      <c r="C12" s="1"/>
      <c r="D12" s="1"/>
      <c r="E12" s="1"/>
      <c r="F12" s="1"/>
      <c r="G12" s="1"/>
      <c r="H12" s="1"/>
      <c r="I12" s="1"/>
      <c r="J12" s="1"/>
      <c r="K12" s="1"/>
      <c r="L12" s="1"/>
      <c r="M12" s="1"/>
    </row>
    <row r="13" spans="1:19" ht="15.5" x14ac:dyDescent="0.35">
      <c r="A13" s="95" t="s">
        <v>135</v>
      </c>
      <c r="B13" s="10"/>
      <c r="C13" s="11"/>
      <c r="D13" s="5"/>
      <c r="E13" s="12"/>
      <c r="F13" s="13"/>
      <c r="G13" s="5"/>
      <c r="H13" s="5"/>
      <c r="I13" s="5"/>
      <c r="J13" s="18"/>
      <c r="K13" s="18"/>
      <c r="L13" s="18"/>
      <c r="M13" s="18"/>
    </row>
    <row r="14" spans="1:19" ht="15.5" x14ac:dyDescent="0.35">
      <c r="A14" s="95" t="s">
        <v>113</v>
      </c>
      <c r="B14" s="10"/>
      <c r="C14" s="11"/>
      <c r="D14" s="5"/>
      <c r="E14" s="12"/>
      <c r="F14" s="13"/>
      <c r="G14" s="5"/>
      <c r="H14" s="5"/>
      <c r="I14" s="5"/>
      <c r="J14" s="18"/>
      <c r="K14" s="18"/>
      <c r="L14" s="18"/>
      <c r="M14" s="18"/>
    </row>
    <row r="15" spans="1:19" ht="20" customHeight="1" x14ac:dyDescent="0.35">
      <c r="A15" s="84" t="s">
        <v>71</v>
      </c>
      <c r="B15" s="7"/>
      <c r="C15" s="7"/>
      <c r="D15" s="7"/>
      <c r="E15" s="7"/>
      <c r="F15" s="7"/>
      <c r="G15" s="7"/>
      <c r="H15" s="7"/>
      <c r="I15" s="7"/>
      <c r="J15" s="39"/>
      <c r="K15" s="39"/>
      <c r="L15" s="39"/>
      <c r="M15" s="39"/>
      <c r="N15" s="7"/>
      <c r="O15" s="7"/>
      <c r="P15" s="7"/>
      <c r="Q15" s="7"/>
      <c r="R15" s="7"/>
      <c r="S15" s="7"/>
    </row>
    <row r="16" spans="1:19" s="7" customFormat="1" ht="13" x14ac:dyDescent="0.3">
      <c r="A16" s="95" t="s">
        <v>72</v>
      </c>
      <c r="B16" s="14"/>
      <c r="C16" s="14" t="s">
        <v>146</v>
      </c>
      <c r="D16" s="14"/>
      <c r="E16" s="15"/>
      <c r="F16" s="16"/>
      <c r="G16" s="14"/>
      <c r="H16" s="14"/>
      <c r="I16" s="14"/>
      <c r="J16" s="71"/>
      <c r="K16" s="71"/>
      <c r="L16" s="71"/>
      <c r="M16" s="71"/>
    </row>
    <row r="17" spans="1:13" s="7" customFormat="1" ht="13" x14ac:dyDescent="0.3">
      <c r="A17" s="95" t="s">
        <v>73</v>
      </c>
      <c r="B17" s="95"/>
      <c r="C17" s="96" t="s">
        <v>136</v>
      </c>
      <c r="D17" s="14"/>
      <c r="E17" s="15"/>
      <c r="F17" s="16"/>
      <c r="G17" s="14"/>
      <c r="H17" s="14"/>
      <c r="I17" s="14"/>
      <c r="J17" s="71"/>
      <c r="K17" s="71"/>
      <c r="L17" s="71"/>
      <c r="M17" s="71"/>
    </row>
    <row r="18" spans="1:13" s="100" customFormat="1" ht="56.25" customHeight="1" x14ac:dyDescent="0.6">
      <c r="A18" s="97" t="s">
        <v>21</v>
      </c>
      <c r="B18" s="98"/>
      <c r="C18" s="98"/>
      <c r="D18" s="98"/>
      <c r="E18" s="98"/>
      <c r="F18" s="98"/>
      <c r="G18" s="98"/>
      <c r="H18" s="98"/>
      <c r="I18" s="98"/>
      <c r="J18" s="99"/>
      <c r="K18" s="99"/>
      <c r="L18" s="99"/>
      <c r="M18" s="99"/>
    </row>
    <row r="19" spans="1:13" s="17" customFormat="1" ht="19.5" customHeight="1" x14ac:dyDescent="0.35">
      <c r="A19" s="101" t="s">
        <v>147</v>
      </c>
    </row>
    <row r="20" spans="1:13" s="7" customFormat="1" ht="13" x14ac:dyDescent="0.3">
      <c r="A20" s="102">
        <f>45+22.4</f>
        <v>67.400000000000006</v>
      </c>
      <c r="B20" s="7" t="s">
        <v>148</v>
      </c>
    </row>
    <row r="21" spans="1:13" s="7" customFormat="1" ht="13" x14ac:dyDescent="0.3">
      <c r="A21" s="35" t="s">
        <v>149</v>
      </c>
    </row>
    <row r="22" spans="1:13" s="7" customFormat="1" ht="13" x14ac:dyDescent="0.3">
      <c r="A22" s="8"/>
      <c r="B22" s="7" t="s">
        <v>150</v>
      </c>
    </row>
    <row r="23" spans="1:13" s="7" customFormat="1" ht="13" x14ac:dyDescent="0.3">
      <c r="A23" s="103">
        <v>67.400000000000006</v>
      </c>
      <c r="B23" s="7" t="s">
        <v>151</v>
      </c>
    </row>
    <row r="24" spans="1:13" s="105" customFormat="1" ht="28.5" customHeight="1" x14ac:dyDescent="0.35">
      <c r="A24" s="104" t="s">
        <v>152</v>
      </c>
    </row>
    <row r="25" spans="1:13" s="7" customFormat="1" ht="13" x14ac:dyDescent="0.3">
      <c r="A25" s="8"/>
      <c r="B25" s="7" t="s">
        <v>153</v>
      </c>
    </row>
    <row r="26" spans="1:13" s="112" customFormat="1" x14ac:dyDescent="0.35">
      <c r="A26" s="110" t="str">
        <f>'business model (in Real terms)'!A104</f>
        <v>employees</v>
      </c>
      <c r="B26" s="110" t="str">
        <f>'business model (in Real terms)'!B104</f>
        <v>$ Real</v>
      </c>
      <c r="C26" s="113">
        <f>'business model (in Real terms)'!C104</f>
        <v>46080</v>
      </c>
      <c r="D26" s="111">
        <f>'business model (in Real terms)'!D104</f>
        <v>960</v>
      </c>
      <c r="E26" s="111">
        <f>'business model (in Real terms)'!E104</f>
        <v>960</v>
      </c>
      <c r="F26" s="111">
        <f>'business model (in Real terms)'!F104</f>
        <v>960</v>
      </c>
      <c r="G26" s="111">
        <f>'business model (in Real terms)'!G104</f>
        <v>960</v>
      </c>
      <c r="H26" s="111">
        <f>'business model (in Real terms)'!H104</f>
        <v>960</v>
      </c>
      <c r="I26" s="111">
        <f>'business model (in Real terms)'!I104</f>
        <v>960</v>
      </c>
      <c r="J26" s="111">
        <f>'business model (in Real terms)'!J104</f>
        <v>960</v>
      </c>
      <c r="K26" s="111">
        <f>'business model (in Real terms)'!K104</f>
        <v>960</v>
      </c>
      <c r="L26" s="111">
        <f>'business model (in Real terms)'!L104</f>
        <v>960</v>
      </c>
      <c r="M26" s="111">
        <f>'business model (in Real terms)'!M104</f>
        <v>960</v>
      </c>
    </row>
    <row r="27" spans="1:13" s="7" customFormat="1" ht="13" x14ac:dyDescent="0.3">
      <c r="A27" s="8"/>
      <c r="B27" s="7" t="s">
        <v>154</v>
      </c>
    </row>
    <row r="28" spans="1:13" s="7" customFormat="1" ht="13" x14ac:dyDescent="0.3">
      <c r="A28" s="8"/>
      <c r="B28" s="7" t="s">
        <v>155</v>
      </c>
    </row>
    <row r="29" spans="1:13" s="7" customFormat="1" ht="13" x14ac:dyDescent="0.3">
      <c r="A29" s="8"/>
      <c r="B29" s="7" t="s">
        <v>156</v>
      </c>
    </row>
    <row r="30" spans="1:13" s="14" customFormat="1" ht="28.5" customHeight="1" x14ac:dyDescent="0.35">
      <c r="A30" s="106" t="s">
        <v>157</v>
      </c>
    </row>
    <row r="31" spans="1:13" s="7" customFormat="1" ht="13" x14ac:dyDescent="0.3">
      <c r="A31" s="9">
        <f>A20+A23</f>
        <v>134.80000000000001</v>
      </c>
      <c r="B31" s="7" t="s">
        <v>158</v>
      </c>
    </row>
    <row r="32" spans="1:13" s="14" customFormat="1" ht="28.5" customHeight="1" x14ac:dyDescent="0.35">
      <c r="A32" s="107" t="s">
        <v>159</v>
      </c>
    </row>
    <row r="33" spans="1:13" s="7" customFormat="1" ht="13" x14ac:dyDescent="0.3">
      <c r="A33" s="108">
        <v>67.400000000000006</v>
      </c>
      <c r="B33" s="7" t="s">
        <v>160</v>
      </c>
    </row>
    <row r="34" spans="1:13" s="7" customFormat="1" ht="13" x14ac:dyDescent="0.3"/>
    <row r="35" spans="1:13" s="14" customFormat="1" ht="28.5" customHeight="1" x14ac:dyDescent="0.35">
      <c r="A35" s="109" t="s">
        <v>161</v>
      </c>
    </row>
    <row r="36" spans="1:13" s="7" customFormat="1" ht="13" x14ac:dyDescent="0.3">
      <c r="A36" s="7" t="s">
        <v>162</v>
      </c>
    </row>
    <row r="37" spans="1:13" s="7" customFormat="1" ht="13" x14ac:dyDescent="0.3">
      <c r="B37" s="7" t="s">
        <v>163</v>
      </c>
    </row>
    <row r="38" spans="1:13" s="7" customFormat="1" ht="13" x14ac:dyDescent="0.3">
      <c r="C38" s="7" t="s">
        <v>164</v>
      </c>
    </row>
    <row r="39" spans="1:13" s="7" customFormat="1" ht="13" x14ac:dyDescent="0.3">
      <c r="A39" s="8"/>
      <c r="B39" s="8"/>
      <c r="C39" s="8"/>
      <c r="D39" s="7" t="s">
        <v>165</v>
      </c>
      <c r="E39" s="8"/>
      <c r="F39" s="8"/>
    </row>
    <row r="40" spans="1:13" x14ac:dyDescent="0.35">
      <c r="A40" t="s">
        <v>137</v>
      </c>
      <c r="B40" s="7"/>
      <c r="C40" s="7"/>
      <c r="D40" s="7"/>
      <c r="E40" s="7"/>
      <c r="F40" s="7"/>
      <c r="G40" s="7"/>
      <c r="H40" s="7"/>
      <c r="I40" s="7"/>
      <c r="J40" s="70"/>
      <c r="K40" s="70"/>
      <c r="L40" s="70"/>
      <c r="M40" s="70"/>
    </row>
    <row r="41" spans="1:13" x14ac:dyDescent="0.35">
      <c r="J41" s="72"/>
      <c r="K41" s="72"/>
      <c r="L41" s="72"/>
      <c r="M41" s="72"/>
    </row>
  </sheetData>
  <pageMargins left="0.70866141732283472" right="0.70866141732283472" top="0.74803149606299213" bottom="0.74803149606299213" header="0.31496062992125984" footer="0.31496062992125984"/>
  <pageSetup paperSize="9"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235"/>
  <sheetViews>
    <sheetView zoomScaleNormal="100" workbookViewId="0">
      <pane xSplit="32180" topLeftCell="AW1"/>
      <selection activeCell="B2" sqref="B2"/>
      <selection pane="topRight" activeCell="AW192" sqref="AW192"/>
    </sheetView>
  </sheetViews>
  <sheetFormatPr defaultColWidth="8.81640625" defaultRowHeight="15.5" x14ac:dyDescent="0.35"/>
  <cols>
    <col min="1" max="1" width="67.26953125" style="5" customWidth="1"/>
    <col min="2" max="2" width="21.81640625" style="5" customWidth="1"/>
    <col min="3" max="3" width="21.81640625" style="1" customWidth="1"/>
    <col min="4" max="10" width="12.54296875" style="3" customWidth="1"/>
    <col min="11" max="51" width="12.54296875" style="5" customWidth="1"/>
    <col min="52" max="16384" width="8.81640625" style="5"/>
  </cols>
  <sheetData>
    <row r="1" spans="1:13" s="116" customFormat="1" ht="30.75" customHeight="1" x14ac:dyDescent="0.35">
      <c r="A1" s="115" t="str">
        <f>'Intro &amp; Audits'!A1</f>
        <v>One-page business model and one-page project funding of a small scale organic fertiliser plant (first 48 months)</v>
      </c>
      <c r="B1" s="115"/>
      <c r="C1" s="115"/>
      <c r="D1" s="115"/>
    </row>
    <row r="2" spans="1:13" s="19" customFormat="1" ht="28.5" customHeight="1" x14ac:dyDescent="0.35">
      <c r="A2" s="117" t="s">
        <v>20</v>
      </c>
    </row>
    <row r="3" spans="1:13" s="90" customFormat="1" ht="40.75" customHeight="1" x14ac:dyDescent="0.45">
      <c r="A3" s="118" t="s">
        <v>138</v>
      </c>
      <c r="C3" s="119"/>
      <c r="D3" s="120"/>
      <c r="E3" s="120"/>
      <c r="F3" s="120"/>
      <c r="G3" s="120"/>
      <c r="H3" s="120"/>
      <c r="I3" s="120"/>
      <c r="J3" s="120"/>
      <c r="K3" s="120"/>
      <c r="L3" s="120"/>
      <c r="M3" s="120"/>
    </row>
    <row r="4" spans="1:13" s="90" customFormat="1" ht="21.5" customHeight="1" x14ac:dyDescent="0.45">
      <c r="A4" s="20" t="s">
        <v>166</v>
      </c>
      <c r="C4" s="119"/>
      <c r="D4" s="120"/>
      <c r="E4" s="120"/>
      <c r="F4" s="120"/>
      <c r="G4" s="120"/>
      <c r="H4" s="120"/>
      <c r="I4" s="120"/>
      <c r="J4" s="120"/>
      <c r="K4" s="120"/>
      <c r="L4" s="120"/>
      <c r="M4" s="120"/>
    </row>
    <row r="5" spans="1:13" s="17" customFormat="1" ht="14.5" x14ac:dyDescent="0.35">
      <c r="A5" s="162" t="str">
        <f>A168</f>
        <v>Cash Generation over 48 months (before funding)</v>
      </c>
      <c r="B5" s="78" t="str">
        <f t="shared" ref="B5:C5" si="0">B168</f>
        <v>$ Real</v>
      </c>
      <c r="C5" s="163">
        <f t="shared" si="0"/>
        <v>153439.12771899317</v>
      </c>
      <c r="D5" s="70"/>
      <c r="E5" s="70"/>
      <c r="F5" s="70"/>
      <c r="G5" s="70"/>
      <c r="H5" s="70"/>
      <c r="I5" s="70"/>
      <c r="J5" s="70"/>
    </row>
    <row r="6" spans="1:13" s="17" customFormat="1" ht="18.5" x14ac:dyDescent="0.35">
      <c r="A6" s="128" t="str">
        <f>A178</f>
        <v>NPV after 48 months  (before funding)</v>
      </c>
      <c r="B6" s="79" t="str">
        <f>B178</f>
        <v xml:space="preserve">$ </v>
      </c>
      <c r="C6" s="67">
        <f>C178</f>
        <v>107199.52384472742</v>
      </c>
      <c r="D6" s="70"/>
      <c r="E6" s="70"/>
      <c r="F6" s="70"/>
      <c r="G6" s="70"/>
      <c r="H6" s="70"/>
      <c r="I6" s="70"/>
      <c r="J6" s="70"/>
    </row>
    <row r="7" spans="1:13" s="17" customFormat="1" ht="18.5" x14ac:dyDescent="0.35">
      <c r="A7" s="128" t="str">
        <f>A171</f>
        <v>Internal Rate of Return  "IRR"</v>
      </c>
      <c r="B7" s="79"/>
      <c r="C7" s="132">
        <f>C171</f>
        <v>2.1307547588004461E-2</v>
      </c>
      <c r="D7" s="70"/>
      <c r="E7" s="70"/>
      <c r="F7" s="70"/>
      <c r="G7" s="70"/>
      <c r="H7" s="70"/>
      <c r="I7" s="70"/>
      <c r="J7" s="70"/>
    </row>
    <row r="8" spans="1:13" s="126" customFormat="1" x14ac:dyDescent="0.35">
      <c r="A8" s="32" t="s">
        <v>31</v>
      </c>
      <c r="B8" s="123"/>
      <c r="C8" s="124" t="s">
        <v>140</v>
      </c>
      <c r="D8" s="125"/>
      <c r="E8" s="125"/>
      <c r="F8" s="125"/>
      <c r="G8" s="125"/>
      <c r="H8" s="125"/>
      <c r="I8" s="125"/>
      <c r="J8" s="125"/>
    </row>
    <row r="9" spans="1:13" s="31" customFormat="1" x14ac:dyDescent="0.35">
      <c r="A9" s="32"/>
      <c r="B9" s="33"/>
      <c r="C9" s="34"/>
      <c r="D9" s="30"/>
      <c r="E9" s="30"/>
      <c r="F9" s="30"/>
      <c r="G9" s="30"/>
      <c r="H9" s="30"/>
      <c r="I9" s="30"/>
      <c r="J9" s="30"/>
    </row>
    <row r="10" spans="1:13" s="19" customFormat="1" ht="32.5" customHeight="1" x14ac:dyDescent="0.35">
      <c r="A10" s="118" t="s">
        <v>171</v>
      </c>
      <c r="C10" s="4"/>
      <c r="D10" s="18"/>
      <c r="E10" s="18"/>
      <c r="G10" s="18"/>
      <c r="H10" s="18"/>
      <c r="I10" s="18"/>
      <c r="J10" s="18"/>
      <c r="K10" s="18"/>
      <c r="L10" s="18"/>
      <c r="M10" s="18"/>
    </row>
    <row r="11" spans="1:13" ht="17.25" customHeight="1" x14ac:dyDescent="0.35">
      <c r="A11" s="6"/>
      <c r="C11" s="21"/>
    </row>
    <row r="12" spans="1:13" ht="17.25" customHeight="1" x14ac:dyDescent="0.35">
      <c r="A12" s="6"/>
      <c r="C12" s="21"/>
    </row>
    <row r="13" spans="1:13" ht="17.25" customHeight="1" x14ac:dyDescent="0.35">
      <c r="A13" s="6"/>
      <c r="C13" s="21"/>
    </row>
    <row r="14" spans="1:13" ht="17.25" customHeight="1" x14ac:dyDescent="0.35">
      <c r="A14" s="6"/>
      <c r="C14" s="21"/>
    </row>
    <row r="15" spans="1:13" ht="17.25" customHeight="1" x14ac:dyDescent="0.35">
      <c r="A15" s="6"/>
      <c r="C15" s="21"/>
    </row>
    <row r="16" spans="1:13" ht="17.25" customHeight="1" x14ac:dyDescent="0.35">
      <c r="A16" s="6"/>
      <c r="C16" s="21"/>
    </row>
    <row r="17" spans="1:3" ht="17.25" customHeight="1" x14ac:dyDescent="0.35">
      <c r="A17" s="6"/>
      <c r="C17" s="21"/>
    </row>
    <row r="18" spans="1:3" ht="17.25" customHeight="1" x14ac:dyDescent="0.35">
      <c r="A18" s="6"/>
      <c r="C18" s="21"/>
    </row>
    <row r="19" spans="1:3" ht="17.25" customHeight="1" x14ac:dyDescent="0.35">
      <c r="A19" s="6"/>
      <c r="C19" s="21"/>
    </row>
    <row r="20" spans="1:3" ht="17.25" customHeight="1" x14ac:dyDescent="0.35">
      <c r="A20" s="6"/>
      <c r="C20" s="21"/>
    </row>
    <row r="21" spans="1:3" ht="17.25" customHeight="1" x14ac:dyDescent="0.35">
      <c r="A21" s="6"/>
      <c r="C21" s="21"/>
    </row>
    <row r="22" spans="1:3" ht="17.25" customHeight="1" x14ac:dyDescent="0.35">
      <c r="A22" s="6"/>
      <c r="C22" s="21"/>
    </row>
    <row r="23" spans="1:3" ht="17.25" customHeight="1" x14ac:dyDescent="0.35">
      <c r="A23" s="6"/>
      <c r="C23" s="21"/>
    </row>
    <row r="24" spans="1:3" ht="17.25" customHeight="1" x14ac:dyDescent="0.35">
      <c r="A24" s="6"/>
      <c r="C24" s="21"/>
    </row>
    <row r="25" spans="1:3" ht="17.25" customHeight="1" x14ac:dyDescent="0.35">
      <c r="A25" s="6"/>
      <c r="C25" s="21"/>
    </row>
    <row r="26" spans="1:3" ht="17.25" customHeight="1" x14ac:dyDescent="0.35">
      <c r="A26" s="6"/>
      <c r="C26" s="21"/>
    </row>
    <row r="27" spans="1:3" ht="17.25" customHeight="1" x14ac:dyDescent="0.35">
      <c r="A27" s="6"/>
      <c r="C27" s="21"/>
    </row>
    <row r="28" spans="1:3" ht="17.25" customHeight="1" x14ac:dyDescent="0.35">
      <c r="A28" s="6"/>
      <c r="C28" s="21"/>
    </row>
    <row r="29" spans="1:3" ht="17.25" customHeight="1" x14ac:dyDescent="0.35">
      <c r="A29" s="6"/>
      <c r="C29" s="21"/>
    </row>
    <row r="30" spans="1:3" ht="17.25" customHeight="1" x14ac:dyDescent="0.35">
      <c r="A30" s="6"/>
      <c r="C30" s="21"/>
    </row>
    <row r="31" spans="1:3" ht="17.25" customHeight="1" x14ac:dyDescent="0.35">
      <c r="A31" s="6"/>
      <c r="C31" s="21"/>
    </row>
    <row r="32" spans="1:3" ht="17.25" customHeight="1" x14ac:dyDescent="0.35">
      <c r="A32" s="6"/>
      <c r="C32" s="21"/>
    </row>
    <row r="33" spans="1:16" ht="17.25" customHeight="1" x14ac:dyDescent="0.35">
      <c r="A33" s="6"/>
      <c r="C33" s="21"/>
    </row>
    <row r="34" spans="1:16" ht="17.25" customHeight="1" x14ac:dyDescent="0.35">
      <c r="A34" s="6"/>
      <c r="C34" s="21"/>
    </row>
    <row r="35" spans="1:16" ht="17.25" customHeight="1" x14ac:dyDescent="0.35">
      <c r="A35" s="6"/>
      <c r="C35" s="21"/>
      <c r="M35" s="3"/>
      <c r="O35" s="3"/>
      <c r="P35" s="22"/>
    </row>
    <row r="36" spans="1:16" ht="17.25" customHeight="1" x14ac:dyDescent="0.35">
      <c r="A36" s="6"/>
      <c r="C36" s="21"/>
      <c r="M36" s="3"/>
      <c r="O36" s="3"/>
      <c r="P36" s="22"/>
    </row>
    <row r="37" spans="1:16" ht="17.25" customHeight="1" x14ac:dyDescent="0.35">
      <c r="A37" s="6"/>
      <c r="C37" s="21"/>
      <c r="M37" s="3"/>
      <c r="O37" s="3"/>
      <c r="P37" s="22"/>
    </row>
    <row r="38" spans="1:16" ht="17.25" customHeight="1" x14ac:dyDescent="0.35">
      <c r="A38" s="6"/>
      <c r="C38" s="21"/>
    </row>
    <row r="39" spans="1:16" ht="17.25" customHeight="1" x14ac:dyDescent="0.35">
      <c r="A39" s="6"/>
      <c r="B39" s="21"/>
    </row>
    <row r="40" spans="1:16" ht="17.25" customHeight="1" x14ac:dyDescent="0.35">
      <c r="A40" s="6"/>
      <c r="C40" s="21"/>
    </row>
    <row r="41" spans="1:16" ht="17.25" customHeight="1" x14ac:dyDescent="0.35">
      <c r="A41" s="6"/>
      <c r="C41" s="21"/>
    </row>
    <row r="42" spans="1:16" ht="17.25" customHeight="1" x14ac:dyDescent="0.35">
      <c r="A42" s="6"/>
      <c r="C42" s="21"/>
    </row>
    <row r="43" spans="1:16" ht="17.25" customHeight="1" x14ac:dyDescent="0.35">
      <c r="A43" s="6"/>
      <c r="C43" s="21"/>
    </row>
    <row r="44" spans="1:16" ht="17.25" customHeight="1" x14ac:dyDescent="0.35">
      <c r="A44" s="6"/>
      <c r="C44" s="21"/>
    </row>
    <row r="45" spans="1:16" ht="17.25" customHeight="1" x14ac:dyDescent="0.35">
      <c r="A45" s="6"/>
      <c r="C45" s="21"/>
    </row>
    <row r="46" spans="1:16" ht="17.25" customHeight="1" x14ac:dyDescent="0.35">
      <c r="A46" s="6"/>
      <c r="C46" s="21"/>
    </row>
    <row r="47" spans="1:16" ht="17.25" customHeight="1" x14ac:dyDescent="0.35">
      <c r="A47" s="6"/>
      <c r="C47" s="21"/>
    </row>
    <row r="48" spans="1:16" ht="17.25" customHeight="1" x14ac:dyDescent="0.35">
      <c r="A48" s="6"/>
      <c r="C48" s="21"/>
    </row>
    <row r="49" spans="1:51" ht="17.25" customHeight="1" x14ac:dyDescent="0.35">
      <c r="A49" s="6"/>
      <c r="C49" s="21"/>
    </row>
    <row r="50" spans="1:51" ht="17.25" customHeight="1" x14ac:dyDescent="0.35">
      <c r="A50" s="6"/>
      <c r="C50" s="21"/>
    </row>
    <row r="51" spans="1:51" ht="17.25" customHeight="1" x14ac:dyDescent="0.35">
      <c r="A51" s="6"/>
      <c r="C51" s="21"/>
    </row>
    <row r="52" spans="1:51" ht="17.25" customHeight="1" x14ac:dyDescent="0.35">
      <c r="A52" s="6"/>
      <c r="C52" s="21"/>
    </row>
    <row r="53" spans="1:51" ht="17.25" customHeight="1" x14ac:dyDescent="0.35">
      <c r="A53" s="6"/>
      <c r="C53" s="21"/>
    </row>
    <row r="54" spans="1:51" ht="17.25" customHeight="1" x14ac:dyDescent="0.35">
      <c r="A54" s="6"/>
      <c r="C54" s="21"/>
    </row>
    <row r="55" spans="1:51" ht="17.25" customHeight="1" x14ac:dyDescent="0.35">
      <c r="A55" s="6"/>
      <c r="C55" s="21"/>
    </row>
    <row r="56" spans="1:51" ht="17.25" customHeight="1" x14ac:dyDescent="0.35">
      <c r="A56" s="6"/>
      <c r="C56" s="21"/>
    </row>
    <row r="57" spans="1:51" ht="17.25" customHeight="1" x14ac:dyDescent="0.35">
      <c r="A57" s="6"/>
      <c r="C57" s="21"/>
    </row>
    <row r="58" spans="1:51" ht="17.25" customHeight="1" x14ac:dyDescent="0.35">
      <c r="A58" s="6"/>
      <c r="C58" s="21"/>
    </row>
    <row r="59" spans="1:51" ht="17.25" customHeight="1" x14ac:dyDescent="0.35">
      <c r="A59" s="6"/>
      <c r="C59" s="21"/>
    </row>
    <row r="60" spans="1:51" s="131" customFormat="1" ht="28.9" customHeight="1" x14ac:dyDescent="0.35">
      <c r="A60" s="161" t="s">
        <v>25</v>
      </c>
      <c r="B60" s="161" t="s">
        <v>4</v>
      </c>
      <c r="C60" s="161" t="s">
        <v>5</v>
      </c>
      <c r="D60" s="130">
        <v>46113</v>
      </c>
      <c r="E60" s="130">
        <v>46144</v>
      </c>
      <c r="F60" s="130">
        <v>46175</v>
      </c>
      <c r="G60" s="130">
        <v>46206</v>
      </c>
      <c r="H60" s="130">
        <v>46237</v>
      </c>
      <c r="I60" s="130">
        <v>46268</v>
      </c>
      <c r="J60" s="130">
        <v>46299</v>
      </c>
      <c r="K60" s="130">
        <v>46330</v>
      </c>
      <c r="L60" s="130">
        <v>46361</v>
      </c>
      <c r="M60" s="130">
        <v>46392</v>
      </c>
      <c r="N60" s="130">
        <v>46423</v>
      </c>
      <c r="O60" s="130">
        <v>46454</v>
      </c>
      <c r="P60" s="130">
        <v>46485</v>
      </c>
      <c r="Q60" s="130">
        <v>46516</v>
      </c>
      <c r="R60" s="130">
        <v>46547</v>
      </c>
      <c r="S60" s="130">
        <v>46578</v>
      </c>
      <c r="T60" s="130">
        <v>46609</v>
      </c>
      <c r="U60" s="130">
        <v>46640</v>
      </c>
      <c r="V60" s="130">
        <v>46671</v>
      </c>
      <c r="W60" s="130">
        <v>46702</v>
      </c>
      <c r="X60" s="130">
        <v>46733</v>
      </c>
      <c r="Y60" s="130">
        <v>46764</v>
      </c>
      <c r="Z60" s="130">
        <v>46795</v>
      </c>
      <c r="AA60" s="130">
        <v>46826</v>
      </c>
      <c r="AB60" s="130">
        <v>46857</v>
      </c>
      <c r="AC60" s="130">
        <v>46888</v>
      </c>
      <c r="AD60" s="130">
        <v>46919</v>
      </c>
      <c r="AE60" s="130">
        <v>46950</v>
      </c>
      <c r="AF60" s="130">
        <v>46981</v>
      </c>
      <c r="AG60" s="130">
        <v>47012</v>
      </c>
      <c r="AH60" s="130">
        <v>47043</v>
      </c>
      <c r="AI60" s="130">
        <v>47074</v>
      </c>
      <c r="AJ60" s="130">
        <v>47105</v>
      </c>
      <c r="AK60" s="130">
        <v>47136</v>
      </c>
      <c r="AL60" s="130">
        <v>47167</v>
      </c>
      <c r="AM60" s="130">
        <v>47198</v>
      </c>
      <c r="AN60" s="130">
        <v>47229</v>
      </c>
      <c r="AO60" s="130">
        <v>47260</v>
      </c>
      <c r="AP60" s="130">
        <v>47291</v>
      </c>
      <c r="AQ60" s="130">
        <v>47322</v>
      </c>
      <c r="AR60" s="130">
        <v>47353</v>
      </c>
      <c r="AS60" s="130">
        <v>47384</v>
      </c>
      <c r="AT60" s="130">
        <v>47415</v>
      </c>
      <c r="AU60" s="130">
        <v>47446</v>
      </c>
      <c r="AV60" s="130">
        <v>47477</v>
      </c>
      <c r="AW60" s="130">
        <v>47508</v>
      </c>
      <c r="AX60" s="130">
        <v>47539</v>
      </c>
      <c r="AY60" s="130">
        <v>47570</v>
      </c>
    </row>
    <row r="61" spans="1:51" s="38" customFormat="1" ht="33.75" customHeight="1" x14ac:dyDescent="0.35">
      <c r="A61" s="121" t="s">
        <v>192</v>
      </c>
      <c r="C61" s="133"/>
      <c r="D61" s="133"/>
      <c r="E61" s="133"/>
      <c r="F61" s="133"/>
      <c r="G61" s="133"/>
      <c r="H61" s="133"/>
      <c r="I61" s="133"/>
      <c r="J61" s="133"/>
    </row>
    <row r="62" spans="1:51" s="7" customFormat="1" ht="13" x14ac:dyDescent="0.3">
      <c r="A62" s="14" t="s">
        <v>176</v>
      </c>
      <c r="C62" s="9"/>
      <c r="D62" s="9"/>
      <c r="E62" s="9"/>
      <c r="F62" s="9"/>
      <c r="G62" s="9"/>
      <c r="H62" s="9"/>
      <c r="I62" s="9"/>
      <c r="J62" s="9"/>
    </row>
    <row r="63" spans="1:51" s="135" customFormat="1" ht="52.5" customHeight="1" x14ac:dyDescent="0.35">
      <c r="A63" s="129" t="s">
        <v>102</v>
      </c>
      <c r="B63" s="134"/>
      <c r="C63" s="134"/>
      <c r="D63" s="134" t="s">
        <v>115</v>
      </c>
      <c r="E63" s="134" t="s">
        <v>101</v>
      </c>
      <c r="F63" s="134" t="s">
        <v>103</v>
      </c>
      <c r="G63" s="134" t="s">
        <v>104</v>
      </c>
      <c r="H63" s="134" t="s">
        <v>189</v>
      </c>
      <c r="I63" s="134" t="s">
        <v>116</v>
      </c>
      <c r="J63" s="134" t="s">
        <v>105</v>
      </c>
      <c r="K63" s="134" t="s">
        <v>106</v>
      </c>
      <c r="L63" s="134" t="s">
        <v>106</v>
      </c>
      <c r="M63" s="134" t="s">
        <v>106</v>
      </c>
      <c r="N63" s="134" t="s">
        <v>106</v>
      </c>
      <c r="O63" s="134" t="s">
        <v>106</v>
      </c>
      <c r="P63" s="134" t="s">
        <v>106</v>
      </c>
      <c r="Q63" s="134" t="s">
        <v>106</v>
      </c>
      <c r="R63" s="134" t="s">
        <v>106</v>
      </c>
      <c r="S63" s="134" t="s">
        <v>106</v>
      </c>
      <c r="T63" s="134" t="s">
        <v>106</v>
      </c>
      <c r="U63" s="134" t="s">
        <v>106</v>
      </c>
      <c r="V63" s="134" t="s">
        <v>106</v>
      </c>
      <c r="W63" s="134" t="s">
        <v>106</v>
      </c>
      <c r="X63" s="134" t="s">
        <v>106</v>
      </c>
      <c r="Y63" s="134" t="s">
        <v>106</v>
      </c>
      <c r="Z63" s="134" t="s">
        <v>106</v>
      </c>
      <c r="AA63" s="134" t="s">
        <v>106</v>
      </c>
      <c r="AB63" s="134" t="s">
        <v>106</v>
      </c>
      <c r="AC63" s="134" t="s">
        <v>106</v>
      </c>
      <c r="AD63" s="134" t="s">
        <v>106</v>
      </c>
      <c r="AE63" s="134" t="s">
        <v>106</v>
      </c>
      <c r="AF63" s="134" t="s">
        <v>106</v>
      </c>
      <c r="AG63" s="134" t="s">
        <v>106</v>
      </c>
      <c r="AH63" s="134" t="s">
        <v>106</v>
      </c>
      <c r="AI63" s="134" t="s">
        <v>106</v>
      </c>
      <c r="AJ63" s="134" t="s">
        <v>106</v>
      </c>
      <c r="AK63" s="134" t="s">
        <v>106</v>
      </c>
      <c r="AL63" s="134" t="s">
        <v>106</v>
      </c>
      <c r="AM63" s="134" t="s">
        <v>106</v>
      </c>
      <c r="AN63" s="134" t="s">
        <v>106</v>
      </c>
      <c r="AO63" s="134" t="s">
        <v>106</v>
      </c>
      <c r="AP63" s="134" t="s">
        <v>106</v>
      </c>
      <c r="AQ63" s="134" t="s">
        <v>106</v>
      </c>
      <c r="AR63" s="134" t="s">
        <v>106</v>
      </c>
      <c r="AS63" s="134" t="s">
        <v>106</v>
      </c>
      <c r="AT63" s="134" t="s">
        <v>106</v>
      </c>
      <c r="AU63" s="134" t="s">
        <v>106</v>
      </c>
      <c r="AV63" s="134"/>
      <c r="AW63" s="134"/>
      <c r="AX63" s="134"/>
      <c r="AY63" s="134"/>
    </row>
    <row r="64" spans="1:51" s="38" customFormat="1" ht="33.75" customHeight="1" x14ac:dyDescent="0.35">
      <c r="A64" s="121" t="s">
        <v>36</v>
      </c>
      <c r="C64" s="133"/>
      <c r="D64" s="133"/>
      <c r="E64" s="133"/>
      <c r="F64" s="133"/>
      <c r="G64" s="133"/>
      <c r="H64" s="133"/>
      <c r="I64" s="133"/>
      <c r="J64" s="133"/>
    </row>
    <row r="65" spans="1:51" s="7" customFormat="1" ht="13" x14ac:dyDescent="0.3">
      <c r="A65" s="41" t="s">
        <v>129</v>
      </c>
      <c r="C65" s="9"/>
      <c r="D65" s="9"/>
      <c r="E65" s="9"/>
      <c r="F65" s="9"/>
      <c r="G65" s="9"/>
      <c r="H65" s="9"/>
      <c r="I65" s="9"/>
      <c r="J65" s="9"/>
    </row>
    <row r="66" spans="1:51" s="7" customFormat="1" ht="13" x14ac:dyDescent="0.3">
      <c r="A66" s="14" t="s">
        <v>177</v>
      </c>
      <c r="C66" s="9"/>
      <c r="D66" s="9"/>
      <c r="E66" s="9"/>
      <c r="F66" s="9"/>
      <c r="G66" s="9"/>
      <c r="H66" s="9"/>
      <c r="I66" s="9"/>
      <c r="J66" s="9"/>
    </row>
    <row r="67" spans="1:51" s="139" customFormat="1" ht="13" x14ac:dyDescent="0.3">
      <c r="A67" s="136" t="s">
        <v>42</v>
      </c>
      <c r="B67" s="136" t="s">
        <v>43</v>
      </c>
      <c r="C67" s="137">
        <f>SUM(D67:AY67)</f>
        <v>1553724.976762326</v>
      </c>
      <c r="D67" s="138"/>
      <c r="E67" s="138"/>
      <c r="F67" s="138"/>
      <c r="G67" s="138"/>
      <c r="H67" s="138"/>
      <c r="I67" s="138"/>
      <c r="J67" s="138">
        <v>30000</v>
      </c>
      <c r="K67" s="138">
        <f>J67*101%</f>
        <v>30300</v>
      </c>
      <c r="L67" s="138">
        <f t="shared" ref="L67:AV67" si="1">K67*101%</f>
        <v>30603</v>
      </c>
      <c r="M67" s="138">
        <f t="shared" si="1"/>
        <v>30909.03</v>
      </c>
      <c r="N67" s="138">
        <f t="shared" si="1"/>
        <v>31218.120299999999</v>
      </c>
      <c r="O67" s="138">
        <f t="shared" si="1"/>
        <v>31530.301502999999</v>
      </c>
      <c r="P67" s="138">
        <f t="shared" si="1"/>
        <v>31845.604518029999</v>
      </c>
      <c r="Q67" s="138">
        <f t="shared" si="1"/>
        <v>32164.0605632103</v>
      </c>
      <c r="R67" s="138">
        <f t="shared" si="1"/>
        <v>32485.701168842403</v>
      </c>
      <c r="S67" s="138">
        <f t="shared" si="1"/>
        <v>32810.558180530825</v>
      </c>
      <c r="T67" s="138">
        <f t="shared" si="1"/>
        <v>33138.663762336131</v>
      </c>
      <c r="U67" s="138">
        <f t="shared" si="1"/>
        <v>33470.050399959495</v>
      </c>
      <c r="V67" s="138">
        <f t="shared" si="1"/>
        <v>33804.750903959088</v>
      </c>
      <c r="W67" s="138">
        <f t="shared" si="1"/>
        <v>34142.79841299868</v>
      </c>
      <c r="X67" s="138">
        <f t="shared" si="1"/>
        <v>34484.226397128667</v>
      </c>
      <c r="Y67" s="138">
        <f t="shared" si="1"/>
        <v>34829.068661099955</v>
      </c>
      <c r="Z67" s="138">
        <f t="shared" si="1"/>
        <v>35177.359347710953</v>
      </c>
      <c r="AA67" s="138">
        <f t="shared" si="1"/>
        <v>35529.132941188065</v>
      </c>
      <c r="AB67" s="138">
        <f t="shared" si="1"/>
        <v>35884.42427059995</v>
      </c>
      <c r="AC67" s="138">
        <f t="shared" si="1"/>
        <v>36243.268513305949</v>
      </c>
      <c r="AD67" s="138">
        <f t="shared" si="1"/>
        <v>36605.701198439012</v>
      </c>
      <c r="AE67" s="138">
        <f t="shared" si="1"/>
        <v>36971.758210423402</v>
      </c>
      <c r="AF67" s="138">
        <f t="shared" si="1"/>
        <v>37341.475792527635</v>
      </c>
      <c r="AG67" s="138">
        <f t="shared" si="1"/>
        <v>37714.89055045291</v>
      </c>
      <c r="AH67" s="138">
        <f t="shared" si="1"/>
        <v>38092.039455957442</v>
      </c>
      <c r="AI67" s="138">
        <f t="shared" si="1"/>
        <v>38472.959850517014</v>
      </c>
      <c r="AJ67" s="138">
        <f t="shared" si="1"/>
        <v>38857.689449022182</v>
      </c>
      <c r="AK67" s="138">
        <f t="shared" si="1"/>
        <v>39246.266343512405</v>
      </c>
      <c r="AL67" s="138">
        <f t="shared" si="1"/>
        <v>39638.729006947528</v>
      </c>
      <c r="AM67" s="138">
        <f t="shared" si="1"/>
        <v>40035.116297017004</v>
      </c>
      <c r="AN67" s="138">
        <f t="shared" si="1"/>
        <v>40435.467459987172</v>
      </c>
      <c r="AO67" s="138">
        <f t="shared" si="1"/>
        <v>40839.822134587048</v>
      </c>
      <c r="AP67" s="138">
        <f t="shared" si="1"/>
        <v>41248.220355932921</v>
      </c>
      <c r="AQ67" s="138">
        <f t="shared" si="1"/>
        <v>41660.702559492252</v>
      </c>
      <c r="AR67" s="138">
        <f t="shared" si="1"/>
        <v>42077.309585087176</v>
      </c>
      <c r="AS67" s="138">
        <f t="shared" si="1"/>
        <v>42498.082680938045</v>
      </c>
      <c r="AT67" s="138">
        <f t="shared" si="1"/>
        <v>42923.063507747429</v>
      </c>
      <c r="AU67" s="138">
        <f t="shared" si="1"/>
        <v>43352.294142824903</v>
      </c>
      <c r="AV67" s="138">
        <f t="shared" si="1"/>
        <v>43785.817084253154</v>
      </c>
      <c r="AW67" s="138">
        <f t="shared" ref="AW67:AY68" si="2">AV67</f>
        <v>43785.817084253154</v>
      </c>
      <c r="AX67" s="138">
        <f t="shared" si="2"/>
        <v>43785.817084253154</v>
      </c>
      <c r="AY67" s="138">
        <f t="shared" si="2"/>
        <v>43785.817084253154</v>
      </c>
    </row>
    <row r="68" spans="1:51" s="139" customFormat="1" ht="13" x14ac:dyDescent="0.3">
      <c r="A68" s="136" t="s">
        <v>117</v>
      </c>
      <c r="B68" s="136" t="s">
        <v>45</v>
      </c>
      <c r="C68" s="140">
        <f>C69/C67</f>
        <v>0.40421491085939998</v>
      </c>
      <c r="D68" s="141"/>
      <c r="E68" s="141"/>
      <c r="F68" s="141"/>
      <c r="G68" s="141"/>
      <c r="H68" s="141"/>
      <c r="I68" s="141"/>
      <c r="J68" s="142">
        <v>0.45</v>
      </c>
      <c r="K68" s="142">
        <f>J68*0.995</f>
        <v>0.44774999999999998</v>
      </c>
      <c r="L68" s="142">
        <f t="shared" ref="L68:AV68" si="3">K68*0.995</f>
        <v>0.44551124999999997</v>
      </c>
      <c r="M68" s="142">
        <f t="shared" si="3"/>
        <v>0.44328369374999999</v>
      </c>
      <c r="N68" s="142">
        <f t="shared" si="3"/>
        <v>0.44106727528125</v>
      </c>
      <c r="O68" s="142">
        <f t="shared" si="3"/>
        <v>0.43886193890484376</v>
      </c>
      <c r="P68" s="142">
        <f t="shared" si="3"/>
        <v>0.43666762921031954</v>
      </c>
      <c r="Q68" s="142">
        <f t="shared" si="3"/>
        <v>0.43448429106426795</v>
      </c>
      <c r="R68" s="142">
        <f t="shared" si="3"/>
        <v>0.43231186960894663</v>
      </c>
      <c r="S68" s="142">
        <f t="shared" si="3"/>
        <v>0.43015031026090189</v>
      </c>
      <c r="T68" s="142">
        <f t="shared" si="3"/>
        <v>0.42799955870959738</v>
      </c>
      <c r="U68" s="142">
        <f t="shared" si="3"/>
        <v>0.42585956091604937</v>
      </c>
      <c r="V68" s="142">
        <f t="shared" si="3"/>
        <v>0.42373026311146911</v>
      </c>
      <c r="W68" s="142">
        <f t="shared" si="3"/>
        <v>0.42161161179591178</v>
      </c>
      <c r="X68" s="142">
        <f t="shared" si="3"/>
        <v>0.41950355373693221</v>
      </c>
      <c r="Y68" s="142">
        <f t="shared" si="3"/>
        <v>0.41740603596824755</v>
      </c>
      <c r="Z68" s="142">
        <f t="shared" si="3"/>
        <v>0.4153190057884063</v>
      </c>
      <c r="AA68" s="142">
        <f t="shared" si="3"/>
        <v>0.41324241075946427</v>
      </c>
      <c r="AB68" s="142">
        <f t="shared" si="3"/>
        <v>0.41117619870566696</v>
      </c>
      <c r="AC68" s="142">
        <f t="shared" si="3"/>
        <v>0.40912031771213864</v>
      </c>
      <c r="AD68" s="142">
        <f t="shared" si="3"/>
        <v>0.40707471612357793</v>
      </c>
      <c r="AE68" s="142">
        <f t="shared" si="3"/>
        <v>0.40503934254296003</v>
      </c>
      <c r="AF68" s="142">
        <f t="shared" si="3"/>
        <v>0.40301414583024525</v>
      </c>
      <c r="AG68" s="142">
        <f t="shared" si="3"/>
        <v>0.400999075101094</v>
      </c>
      <c r="AH68" s="142">
        <f t="shared" si="3"/>
        <v>0.39899407972558854</v>
      </c>
      <c r="AI68" s="142">
        <f t="shared" si="3"/>
        <v>0.39699910932696059</v>
      </c>
      <c r="AJ68" s="142">
        <f t="shared" si="3"/>
        <v>0.3950141137803258</v>
      </c>
      <c r="AK68" s="142">
        <f t="shared" si="3"/>
        <v>0.39303904321142419</v>
      </c>
      <c r="AL68" s="142">
        <f t="shared" si="3"/>
        <v>0.39107384799536704</v>
      </c>
      <c r="AM68" s="142">
        <f t="shared" si="3"/>
        <v>0.38911847875539018</v>
      </c>
      <c r="AN68" s="142">
        <f t="shared" si="3"/>
        <v>0.38717288636161323</v>
      </c>
      <c r="AO68" s="142">
        <f t="shared" si="3"/>
        <v>0.38523702192980519</v>
      </c>
      <c r="AP68" s="142">
        <f t="shared" si="3"/>
        <v>0.38331083682015615</v>
      </c>
      <c r="AQ68" s="142">
        <f t="shared" si="3"/>
        <v>0.38139428263605535</v>
      </c>
      <c r="AR68" s="142">
        <f t="shared" si="3"/>
        <v>0.37948731122287505</v>
      </c>
      <c r="AS68" s="142">
        <f t="shared" si="3"/>
        <v>0.37758987466676069</v>
      </c>
      <c r="AT68" s="142">
        <f t="shared" si="3"/>
        <v>0.37570192529342689</v>
      </c>
      <c r="AU68" s="142">
        <f t="shared" si="3"/>
        <v>0.37382341566695976</v>
      </c>
      <c r="AV68" s="142">
        <f t="shared" si="3"/>
        <v>0.37195429858862494</v>
      </c>
      <c r="AW68" s="141">
        <f>AV68</f>
        <v>0.37195429858862494</v>
      </c>
      <c r="AX68" s="141">
        <f t="shared" si="2"/>
        <v>0.37195429858862494</v>
      </c>
      <c r="AY68" s="141">
        <f t="shared" si="2"/>
        <v>0.37195429858862494</v>
      </c>
    </row>
    <row r="69" spans="1:51" s="7" customFormat="1" ht="13" x14ac:dyDescent="0.3">
      <c r="A69" s="43" t="s">
        <v>46</v>
      </c>
      <c r="B69" s="7" t="s">
        <v>44</v>
      </c>
      <c r="C69" s="42">
        <f>SUM(D69:AY69)</f>
        <v>628038.80298200692</v>
      </c>
      <c r="D69" s="44">
        <f t="shared" ref="D69:V69" si="4">D67*D68</f>
        <v>0</v>
      </c>
      <c r="E69" s="44">
        <f t="shared" si="4"/>
        <v>0</v>
      </c>
      <c r="F69" s="44">
        <f t="shared" si="4"/>
        <v>0</v>
      </c>
      <c r="G69" s="44">
        <f t="shared" si="4"/>
        <v>0</v>
      </c>
      <c r="H69" s="44">
        <f t="shared" si="4"/>
        <v>0</v>
      </c>
      <c r="I69" s="44">
        <f t="shared" si="4"/>
        <v>0</v>
      </c>
      <c r="J69" s="44">
        <f t="shared" si="4"/>
        <v>13500</v>
      </c>
      <c r="K69" s="44">
        <f t="shared" si="4"/>
        <v>13566.824999999999</v>
      </c>
      <c r="L69" s="44">
        <f t="shared" si="4"/>
        <v>13633.980783749999</v>
      </c>
      <c r="M69" s="44">
        <f t="shared" si="4"/>
        <v>13701.468988629562</v>
      </c>
      <c r="N69" s="44">
        <f t="shared" si="4"/>
        <v>13769.291260123278</v>
      </c>
      <c r="O69" s="44">
        <f t="shared" si="4"/>
        <v>13837.449251860889</v>
      </c>
      <c r="P69" s="44">
        <f t="shared" si="4"/>
        <v>13905.944625657601</v>
      </c>
      <c r="Q69" s="44">
        <f t="shared" si="4"/>
        <v>13974.779051554606</v>
      </c>
      <c r="R69" s="44">
        <f t="shared" si="4"/>
        <v>14043.954207859802</v>
      </c>
      <c r="S69" s="44">
        <f t="shared" si="4"/>
        <v>14113.471781188708</v>
      </c>
      <c r="T69" s="44">
        <f t="shared" si="4"/>
        <v>14183.33346650559</v>
      </c>
      <c r="U69" s="44">
        <f t="shared" si="4"/>
        <v>14253.540967164794</v>
      </c>
      <c r="V69" s="44">
        <f t="shared" si="4"/>
        <v>14324.095994952257</v>
      </c>
      <c r="W69" s="44">
        <f t="shared" ref="W69:AJ69" si="5">W67*W68</f>
        <v>14395.000270127272</v>
      </c>
      <c r="X69" s="44">
        <f t="shared" si="5"/>
        <v>14466.255521464402</v>
      </c>
      <c r="Y69" s="44">
        <f t="shared" si="5"/>
        <v>14537.863486295651</v>
      </c>
      <c r="Z69" s="44">
        <f t="shared" si="5"/>
        <v>14609.825910552814</v>
      </c>
      <c r="AA69" s="44">
        <f t="shared" si="5"/>
        <v>14682.144548810051</v>
      </c>
      <c r="AB69" s="44">
        <f t="shared" si="5"/>
        <v>14754.821164326662</v>
      </c>
      <c r="AC69" s="44">
        <f t="shared" si="5"/>
        <v>14827.857529090081</v>
      </c>
      <c r="AD69" s="44">
        <f t="shared" si="5"/>
        <v>14901.255423859076</v>
      </c>
      <c r="AE69" s="44">
        <f t="shared" si="5"/>
        <v>14975.01663820718</v>
      </c>
      <c r="AF69" s="44">
        <f t="shared" si="5"/>
        <v>15049.142970566305</v>
      </c>
      <c r="AG69" s="44">
        <f t="shared" si="5"/>
        <v>15123.636228270607</v>
      </c>
      <c r="AH69" s="44">
        <f t="shared" si="5"/>
        <v>15198.498227600547</v>
      </c>
      <c r="AI69" s="44">
        <f t="shared" si="5"/>
        <v>15273.73079382717</v>
      </c>
      <c r="AJ69" s="44">
        <f t="shared" si="5"/>
        <v>15349.335761256614</v>
      </c>
      <c r="AK69" s="44">
        <f t="shared" ref="AK69:AY69" si="6">AK67*AK68</f>
        <v>15425.314973274835</v>
      </c>
      <c r="AL69" s="44">
        <f t="shared" si="6"/>
        <v>15501.670282392544</v>
      </c>
      <c r="AM69" s="44">
        <f t="shared" si="6"/>
        <v>15578.403550290386</v>
      </c>
      <c r="AN69" s="44">
        <f t="shared" si="6"/>
        <v>15655.516647864322</v>
      </c>
      <c r="AO69" s="44">
        <f t="shared" si="6"/>
        <v>15733.011455271255</v>
      </c>
      <c r="AP69" s="44">
        <f t="shared" si="6"/>
        <v>15810.889861974847</v>
      </c>
      <c r="AQ69" s="44">
        <f t="shared" si="6"/>
        <v>15889.153766791622</v>
      </c>
      <c r="AR69" s="44">
        <f t="shared" si="6"/>
        <v>15967.805077937241</v>
      </c>
      <c r="AS69" s="44">
        <f t="shared" si="6"/>
        <v>16046.845713073029</v>
      </c>
      <c r="AT69" s="44">
        <f t="shared" si="6"/>
        <v>16126.277599352743</v>
      </c>
      <c r="AU69" s="44">
        <f t="shared" si="6"/>
        <v>16206.102673469539</v>
      </c>
      <c r="AV69" s="44">
        <f t="shared" si="6"/>
        <v>16286.322881703212</v>
      </c>
      <c r="AW69" s="44">
        <f t="shared" si="6"/>
        <v>16286.322881703212</v>
      </c>
      <c r="AX69" s="44">
        <f t="shared" si="6"/>
        <v>16286.322881703212</v>
      </c>
      <c r="AY69" s="44">
        <f t="shared" si="6"/>
        <v>16286.322881703212</v>
      </c>
    </row>
    <row r="70" spans="1:51" s="7" customFormat="1" ht="13" x14ac:dyDescent="0.3">
      <c r="A70" s="41" t="s">
        <v>130</v>
      </c>
      <c r="C70" s="9"/>
      <c r="D70" s="9"/>
      <c r="E70" s="9"/>
      <c r="F70" s="9"/>
      <c r="G70" s="9"/>
      <c r="H70" s="9"/>
      <c r="I70" s="9"/>
      <c r="J70" s="9"/>
    </row>
    <row r="71" spans="1:51" s="7" customFormat="1" ht="13" x14ac:dyDescent="0.3">
      <c r="A71" s="35" t="s">
        <v>178</v>
      </c>
      <c r="C71" s="9"/>
      <c r="D71" s="9"/>
      <c r="E71" s="9"/>
      <c r="F71" s="9"/>
      <c r="G71" s="9"/>
      <c r="H71" s="9"/>
      <c r="I71" s="9"/>
      <c r="J71" s="9"/>
    </row>
    <row r="72" spans="1:51" s="7" customFormat="1" ht="13" x14ac:dyDescent="0.3">
      <c r="A72" s="47" t="s">
        <v>22</v>
      </c>
      <c r="B72" s="7" t="s">
        <v>44</v>
      </c>
      <c r="C72" s="48">
        <f>SUM(D72:AY72)</f>
        <v>628038.80298200692</v>
      </c>
      <c r="D72" s="49">
        <f>D69</f>
        <v>0</v>
      </c>
      <c r="E72" s="49">
        <f t="shared" ref="E72:AY72" si="7">E69</f>
        <v>0</v>
      </c>
      <c r="F72" s="49">
        <f t="shared" si="7"/>
        <v>0</v>
      </c>
      <c r="G72" s="49">
        <f t="shared" si="7"/>
        <v>0</v>
      </c>
      <c r="H72" s="49">
        <f t="shared" si="7"/>
        <v>0</v>
      </c>
      <c r="I72" s="49">
        <f t="shared" si="7"/>
        <v>0</v>
      </c>
      <c r="J72" s="49">
        <f t="shared" si="7"/>
        <v>13500</v>
      </c>
      <c r="K72" s="49">
        <f t="shared" si="7"/>
        <v>13566.824999999999</v>
      </c>
      <c r="L72" s="49">
        <f t="shared" si="7"/>
        <v>13633.980783749999</v>
      </c>
      <c r="M72" s="49">
        <f t="shared" si="7"/>
        <v>13701.468988629562</v>
      </c>
      <c r="N72" s="49">
        <f t="shared" si="7"/>
        <v>13769.291260123278</v>
      </c>
      <c r="O72" s="49">
        <f t="shared" si="7"/>
        <v>13837.449251860889</v>
      </c>
      <c r="P72" s="49">
        <f t="shared" si="7"/>
        <v>13905.944625657601</v>
      </c>
      <c r="Q72" s="49">
        <f t="shared" si="7"/>
        <v>13974.779051554606</v>
      </c>
      <c r="R72" s="49">
        <f t="shared" si="7"/>
        <v>14043.954207859802</v>
      </c>
      <c r="S72" s="49">
        <f t="shared" si="7"/>
        <v>14113.471781188708</v>
      </c>
      <c r="T72" s="49">
        <f t="shared" si="7"/>
        <v>14183.33346650559</v>
      </c>
      <c r="U72" s="49">
        <f t="shared" si="7"/>
        <v>14253.540967164794</v>
      </c>
      <c r="V72" s="49">
        <f t="shared" si="7"/>
        <v>14324.095994952257</v>
      </c>
      <c r="W72" s="49">
        <f t="shared" si="7"/>
        <v>14395.000270127272</v>
      </c>
      <c r="X72" s="49">
        <f t="shared" si="7"/>
        <v>14466.255521464402</v>
      </c>
      <c r="Y72" s="49">
        <f t="shared" si="7"/>
        <v>14537.863486295651</v>
      </c>
      <c r="Z72" s="49">
        <f t="shared" si="7"/>
        <v>14609.825910552814</v>
      </c>
      <c r="AA72" s="49">
        <f t="shared" si="7"/>
        <v>14682.144548810051</v>
      </c>
      <c r="AB72" s="49">
        <f t="shared" si="7"/>
        <v>14754.821164326662</v>
      </c>
      <c r="AC72" s="49">
        <f t="shared" si="7"/>
        <v>14827.857529090081</v>
      </c>
      <c r="AD72" s="49">
        <f t="shared" si="7"/>
        <v>14901.255423859076</v>
      </c>
      <c r="AE72" s="49">
        <f t="shared" si="7"/>
        <v>14975.01663820718</v>
      </c>
      <c r="AF72" s="49">
        <f t="shared" si="7"/>
        <v>15049.142970566305</v>
      </c>
      <c r="AG72" s="49">
        <f t="shared" si="7"/>
        <v>15123.636228270607</v>
      </c>
      <c r="AH72" s="49">
        <f t="shared" si="7"/>
        <v>15198.498227600547</v>
      </c>
      <c r="AI72" s="49">
        <f t="shared" si="7"/>
        <v>15273.73079382717</v>
      </c>
      <c r="AJ72" s="49">
        <f t="shared" si="7"/>
        <v>15349.335761256614</v>
      </c>
      <c r="AK72" s="49">
        <f t="shared" si="7"/>
        <v>15425.314973274835</v>
      </c>
      <c r="AL72" s="49">
        <f t="shared" si="7"/>
        <v>15501.670282392544</v>
      </c>
      <c r="AM72" s="49">
        <f t="shared" si="7"/>
        <v>15578.403550290386</v>
      </c>
      <c r="AN72" s="49">
        <f t="shared" si="7"/>
        <v>15655.516647864322</v>
      </c>
      <c r="AO72" s="49">
        <f t="shared" si="7"/>
        <v>15733.011455271255</v>
      </c>
      <c r="AP72" s="49">
        <f t="shared" si="7"/>
        <v>15810.889861974847</v>
      </c>
      <c r="AQ72" s="49">
        <f t="shared" si="7"/>
        <v>15889.153766791622</v>
      </c>
      <c r="AR72" s="49">
        <f t="shared" si="7"/>
        <v>15967.805077937241</v>
      </c>
      <c r="AS72" s="49">
        <f t="shared" si="7"/>
        <v>16046.845713073029</v>
      </c>
      <c r="AT72" s="49">
        <f t="shared" si="7"/>
        <v>16126.277599352743</v>
      </c>
      <c r="AU72" s="49">
        <f t="shared" si="7"/>
        <v>16206.102673469539</v>
      </c>
      <c r="AV72" s="49">
        <f t="shared" si="7"/>
        <v>16286.322881703212</v>
      </c>
      <c r="AW72" s="49">
        <f t="shared" si="7"/>
        <v>16286.322881703212</v>
      </c>
      <c r="AX72" s="49">
        <f t="shared" si="7"/>
        <v>16286.322881703212</v>
      </c>
      <c r="AY72" s="49">
        <f t="shared" si="7"/>
        <v>16286.322881703212</v>
      </c>
    </row>
    <row r="73" spans="1:51" s="38" customFormat="1" ht="33.75" customHeight="1" x14ac:dyDescent="0.35">
      <c r="A73" s="121" t="s">
        <v>8</v>
      </c>
      <c r="C73" s="133"/>
      <c r="D73" s="133"/>
      <c r="E73" s="133"/>
      <c r="F73" s="133"/>
      <c r="G73" s="133"/>
      <c r="H73" s="133"/>
      <c r="I73" s="133"/>
      <c r="J73" s="133"/>
    </row>
    <row r="74" spans="1:51" s="7" customFormat="1" ht="13" x14ac:dyDescent="0.3">
      <c r="A74" s="41" t="s">
        <v>128</v>
      </c>
      <c r="B74" s="50"/>
      <c r="C74" s="8"/>
      <c r="D74" s="9"/>
      <c r="E74" s="9"/>
      <c r="F74" s="9"/>
      <c r="G74" s="9"/>
      <c r="H74" s="9"/>
      <c r="I74" s="9"/>
      <c r="J74" s="9"/>
    </row>
    <row r="75" spans="1:51" s="7" customFormat="1" ht="13" x14ac:dyDescent="0.3">
      <c r="A75" s="14" t="s">
        <v>179</v>
      </c>
      <c r="C75" s="9"/>
      <c r="D75" s="9"/>
      <c r="E75" s="9"/>
      <c r="F75" s="9"/>
      <c r="G75" s="9"/>
      <c r="H75" s="9"/>
      <c r="I75" s="9"/>
      <c r="J75" s="9"/>
    </row>
    <row r="76" spans="1:51" s="139" customFormat="1" ht="13" x14ac:dyDescent="0.3">
      <c r="A76" s="136" t="s">
        <v>48</v>
      </c>
      <c r="B76" s="136" t="s">
        <v>44</v>
      </c>
      <c r="C76" s="137">
        <f t="shared" ref="C76:C82" si="8">SUM(D76:AY76)</f>
        <v>8000</v>
      </c>
      <c r="D76" s="138"/>
      <c r="E76" s="138"/>
      <c r="F76" s="138">
        <v>8000</v>
      </c>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138"/>
      <c r="AP76" s="138"/>
      <c r="AQ76" s="138"/>
      <c r="AR76" s="138"/>
      <c r="AS76" s="138"/>
      <c r="AT76" s="138"/>
      <c r="AU76" s="138"/>
      <c r="AV76" s="138"/>
      <c r="AW76" s="138"/>
      <c r="AX76" s="138"/>
      <c r="AY76" s="138"/>
    </row>
    <row r="77" spans="1:51" s="139" customFormat="1" ht="13" x14ac:dyDescent="0.3">
      <c r="A77" s="136" t="s">
        <v>49</v>
      </c>
      <c r="B77" s="136" t="s">
        <v>44</v>
      </c>
      <c r="C77" s="137">
        <f t="shared" si="8"/>
        <v>14000</v>
      </c>
      <c r="D77" s="138"/>
      <c r="E77" s="138"/>
      <c r="F77" s="138"/>
      <c r="G77" s="138">
        <v>14000</v>
      </c>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138"/>
      <c r="AY77" s="138"/>
    </row>
    <row r="78" spans="1:51" s="139" customFormat="1" ht="13" x14ac:dyDescent="0.3">
      <c r="A78" s="136" t="s">
        <v>50</v>
      </c>
      <c r="B78" s="136" t="s">
        <v>44</v>
      </c>
      <c r="C78" s="137">
        <f t="shared" si="8"/>
        <v>36000</v>
      </c>
      <c r="D78" s="138"/>
      <c r="E78" s="138"/>
      <c r="F78" s="138"/>
      <c r="G78" s="138">
        <v>12000</v>
      </c>
      <c r="H78" s="138">
        <v>12000</v>
      </c>
      <c r="I78" s="138">
        <v>12000</v>
      </c>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c r="AL78" s="138"/>
      <c r="AM78" s="138"/>
      <c r="AN78" s="138"/>
      <c r="AO78" s="138"/>
      <c r="AP78" s="138"/>
      <c r="AQ78" s="138"/>
      <c r="AR78" s="138"/>
      <c r="AS78" s="138"/>
      <c r="AT78" s="138"/>
      <c r="AU78" s="138"/>
      <c r="AV78" s="138"/>
      <c r="AW78" s="138"/>
      <c r="AX78" s="138"/>
      <c r="AY78" s="138"/>
    </row>
    <row r="79" spans="1:51" s="139" customFormat="1" ht="13" x14ac:dyDescent="0.3">
      <c r="A79" s="136" t="s">
        <v>52</v>
      </c>
      <c r="B79" s="136" t="s">
        <v>44</v>
      </c>
      <c r="C79" s="137">
        <f t="shared" si="8"/>
        <v>6000</v>
      </c>
      <c r="D79" s="138"/>
      <c r="E79" s="138"/>
      <c r="F79" s="138"/>
      <c r="G79" s="138"/>
      <c r="H79" s="138"/>
      <c r="I79" s="138">
        <v>6000</v>
      </c>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8"/>
    </row>
    <row r="80" spans="1:51" s="139" customFormat="1" ht="13" x14ac:dyDescent="0.3">
      <c r="A80" s="136" t="s">
        <v>51</v>
      </c>
      <c r="B80" s="136" t="s">
        <v>44</v>
      </c>
      <c r="C80" s="137">
        <f t="shared" si="8"/>
        <v>20000</v>
      </c>
      <c r="D80" s="138"/>
      <c r="E80" s="138">
        <v>10000</v>
      </c>
      <c r="F80" s="138">
        <v>10000</v>
      </c>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c r="AL80" s="138"/>
      <c r="AM80" s="138"/>
      <c r="AN80" s="138"/>
      <c r="AO80" s="138"/>
      <c r="AP80" s="138"/>
      <c r="AQ80" s="138"/>
      <c r="AR80" s="138"/>
      <c r="AS80" s="138"/>
      <c r="AT80" s="138"/>
      <c r="AU80" s="138"/>
      <c r="AV80" s="138"/>
      <c r="AW80" s="138"/>
      <c r="AX80" s="138"/>
      <c r="AY80" s="138"/>
    </row>
    <row r="81" spans="1:51" s="139" customFormat="1" ht="13" x14ac:dyDescent="0.3">
      <c r="A81" s="136" t="s">
        <v>131</v>
      </c>
      <c r="B81" s="136" t="s">
        <v>44</v>
      </c>
      <c r="C81" s="137">
        <f t="shared" si="8"/>
        <v>39000</v>
      </c>
      <c r="D81" s="138"/>
      <c r="E81" s="138"/>
      <c r="F81" s="138"/>
      <c r="G81" s="138"/>
      <c r="H81" s="138"/>
      <c r="I81" s="138"/>
      <c r="J81" s="138"/>
      <c r="K81" s="138">
        <v>1000</v>
      </c>
      <c r="L81" s="138">
        <v>1000</v>
      </c>
      <c r="M81" s="138">
        <v>1000</v>
      </c>
      <c r="N81" s="138">
        <v>1000</v>
      </c>
      <c r="O81" s="138">
        <v>1000</v>
      </c>
      <c r="P81" s="138">
        <v>1000</v>
      </c>
      <c r="Q81" s="138">
        <v>1000</v>
      </c>
      <c r="R81" s="138">
        <v>1000</v>
      </c>
      <c r="S81" s="138">
        <v>1000</v>
      </c>
      <c r="T81" s="138">
        <v>1000</v>
      </c>
      <c r="U81" s="138">
        <v>1000</v>
      </c>
      <c r="V81" s="138">
        <v>1000</v>
      </c>
      <c r="W81" s="138">
        <v>1000</v>
      </c>
      <c r="X81" s="138">
        <v>1000</v>
      </c>
      <c r="Y81" s="138">
        <v>1000</v>
      </c>
      <c r="Z81" s="138">
        <v>1000</v>
      </c>
      <c r="AA81" s="138">
        <v>1000</v>
      </c>
      <c r="AB81" s="138">
        <v>1000</v>
      </c>
      <c r="AC81" s="138">
        <v>1000</v>
      </c>
      <c r="AD81" s="138">
        <v>1000</v>
      </c>
      <c r="AE81" s="138">
        <v>1000</v>
      </c>
      <c r="AF81" s="138">
        <v>1000</v>
      </c>
      <c r="AG81" s="138">
        <v>1000</v>
      </c>
      <c r="AH81" s="138">
        <v>1000</v>
      </c>
      <c r="AI81" s="138">
        <v>1000</v>
      </c>
      <c r="AJ81" s="138">
        <v>1000</v>
      </c>
      <c r="AK81" s="138">
        <v>1000</v>
      </c>
      <c r="AL81" s="138">
        <v>1000</v>
      </c>
      <c r="AM81" s="138">
        <v>1000</v>
      </c>
      <c r="AN81" s="138">
        <v>1000</v>
      </c>
      <c r="AO81" s="138">
        <v>1000</v>
      </c>
      <c r="AP81" s="138">
        <v>1000</v>
      </c>
      <c r="AQ81" s="138">
        <v>1000</v>
      </c>
      <c r="AR81" s="138">
        <v>1000</v>
      </c>
      <c r="AS81" s="138">
        <v>1000</v>
      </c>
      <c r="AT81" s="138">
        <v>1000</v>
      </c>
      <c r="AU81" s="138">
        <v>1000</v>
      </c>
      <c r="AV81" s="138">
        <v>1000</v>
      </c>
      <c r="AW81" s="138">
        <v>1000</v>
      </c>
      <c r="AX81" s="138"/>
      <c r="AY81" s="138"/>
    </row>
    <row r="82" spans="1:51" s="7" customFormat="1" ht="13" x14ac:dyDescent="0.3">
      <c r="A82" s="47" t="s">
        <v>8</v>
      </c>
      <c r="B82" s="7" t="s">
        <v>44</v>
      </c>
      <c r="C82" s="48">
        <f t="shared" si="8"/>
        <v>123000</v>
      </c>
      <c r="D82" s="49">
        <f t="shared" ref="D82:AY82" si="9">SUM(D76:D81)</f>
        <v>0</v>
      </c>
      <c r="E82" s="49">
        <f t="shared" si="9"/>
        <v>10000</v>
      </c>
      <c r="F82" s="49">
        <f t="shared" si="9"/>
        <v>18000</v>
      </c>
      <c r="G82" s="49">
        <f t="shared" si="9"/>
        <v>26000</v>
      </c>
      <c r="H82" s="49">
        <f t="shared" si="9"/>
        <v>12000</v>
      </c>
      <c r="I82" s="49">
        <f t="shared" si="9"/>
        <v>18000</v>
      </c>
      <c r="J82" s="49">
        <f t="shared" si="9"/>
        <v>0</v>
      </c>
      <c r="K82" s="49">
        <f t="shared" si="9"/>
        <v>1000</v>
      </c>
      <c r="L82" s="49">
        <f t="shared" si="9"/>
        <v>1000</v>
      </c>
      <c r="M82" s="49">
        <f t="shared" si="9"/>
        <v>1000</v>
      </c>
      <c r="N82" s="49">
        <f t="shared" si="9"/>
        <v>1000</v>
      </c>
      <c r="O82" s="49">
        <f t="shared" si="9"/>
        <v>1000</v>
      </c>
      <c r="P82" s="49">
        <f t="shared" si="9"/>
        <v>1000</v>
      </c>
      <c r="Q82" s="49">
        <f t="shared" si="9"/>
        <v>1000</v>
      </c>
      <c r="R82" s="49">
        <f t="shared" si="9"/>
        <v>1000</v>
      </c>
      <c r="S82" s="49">
        <f t="shared" si="9"/>
        <v>1000</v>
      </c>
      <c r="T82" s="49">
        <f t="shared" si="9"/>
        <v>1000</v>
      </c>
      <c r="U82" s="49">
        <f t="shared" si="9"/>
        <v>1000</v>
      </c>
      <c r="V82" s="49">
        <f t="shared" si="9"/>
        <v>1000</v>
      </c>
      <c r="W82" s="49">
        <f t="shared" si="9"/>
        <v>1000</v>
      </c>
      <c r="X82" s="49">
        <f t="shared" si="9"/>
        <v>1000</v>
      </c>
      <c r="Y82" s="49">
        <f t="shared" si="9"/>
        <v>1000</v>
      </c>
      <c r="Z82" s="49">
        <f t="shared" si="9"/>
        <v>1000</v>
      </c>
      <c r="AA82" s="49">
        <f t="shared" si="9"/>
        <v>1000</v>
      </c>
      <c r="AB82" s="49">
        <f t="shared" si="9"/>
        <v>1000</v>
      </c>
      <c r="AC82" s="49">
        <f t="shared" si="9"/>
        <v>1000</v>
      </c>
      <c r="AD82" s="49">
        <f t="shared" si="9"/>
        <v>1000</v>
      </c>
      <c r="AE82" s="49">
        <f t="shared" si="9"/>
        <v>1000</v>
      </c>
      <c r="AF82" s="49">
        <f t="shared" si="9"/>
        <v>1000</v>
      </c>
      <c r="AG82" s="49">
        <f t="shared" si="9"/>
        <v>1000</v>
      </c>
      <c r="AH82" s="49">
        <f t="shared" si="9"/>
        <v>1000</v>
      </c>
      <c r="AI82" s="49">
        <f t="shared" si="9"/>
        <v>1000</v>
      </c>
      <c r="AJ82" s="49">
        <f t="shared" si="9"/>
        <v>1000</v>
      </c>
      <c r="AK82" s="49">
        <f t="shared" si="9"/>
        <v>1000</v>
      </c>
      <c r="AL82" s="49">
        <f t="shared" si="9"/>
        <v>1000</v>
      </c>
      <c r="AM82" s="49">
        <f t="shared" si="9"/>
        <v>1000</v>
      </c>
      <c r="AN82" s="49">
        <f t="shared" si="9"/>
        <v>1000</v>
      </c>
      <c r="AO82" s="49">
        <f t="shared" si="9"/>
        <v>1000</v>
      </c>
      <c r="AP82" s="49">
        <f t="shared" si="9"/>
        <v>1000</v>
      </c>
      <c r="AQ82" s="49">
        <f t="shared" si="9"/>
        <v>1000</v>
      </c>
      <c r="AR82" s="49">
        <f t="shared" si="9"/>
        <v>1000</v>
      </c>
      <c r="AS82" s="49">
        <f t="shared" si="9"/>
        <v>1000</v>
      </c>
      <c r="AT82" s="49">
        <f t="shared" si="9"/>
        <v>1000</v>
      </c>
      <c r="AU82" s="49">
        <f t="shared" si="9"/>
        <v>1000</v>
      </c>
      <c r="AV82" s="49">
        <f t="shared" si="9"/>
        <v>1000</v>
      </c>
      <c r="AW82" s="49">
        <f t="shared" si="9"/>
        <v>1000</v>
      </c>
      <c r="AX82" s="49">
        <f t="shared" si="9"/>
        <v>0</v>
      </c>
      <c r="AY82" s="49">
        <f t="shared" si="9"/>
        <v>0</v>
      </c>
    </row>
    <row r="83" spans="1:51" s="38" customFormat="1" ht="33.75" customHeight="1" x14ac:dyDescent="0.35">
      <c r="A83" s="121" t="s">
        <v>9</v>
      </c>
      <c r="C83" s="133"/>
      <c r="D83" s="133"/>
      <c r="E83" s="133"/>
      <c r="F83" s="133"/>
      <c r="G83" s="133"/>
      <c r="H83" s="133"/>
      <c r="I83" s="133"/>
      <c r="J83" s="133"/>
    </row>
    <row r="84" spans="1:51" s="36" customFormat="1" ht="16.5" customHeight="1" x14ac:dyDescent="0.3">
      <c r="A84" s="36" t="str">
        <f t="shared" ref="A84:J84" si="10">A$60</f>
        <v>Months --&gt;</v>
      </c>
      <c r="B84" s="36" t="str">
        <f t="shared" si="10"/>
        <v>units</v>
      </c>
      <c r="C84" s="36" t="str">
        <f t="shared" si="10"/>
        <v>Total</v>
      </c>
      <c r="D84" s="51">
        <f t="shared" si="10"/>
        <v>46113</v>
      </c>
      <c r="E84" s="51">
        <f t="shared" si="10"/>
        <v>46144</v>
      </c>
      <c r="F84" s="51">
        <f t="shared" si="10"/>
        <v>46175</v>
      </c>
      <c r="G84" s="51">
        <f t="shared" si="10"/>
        <v>46206</v>
      </c>
      <c r="H84" s="51">
        <f t="shared" si="10"/>
        <v>46237</v>
      </c>
      <c r="I84" s="51">
        <f t="shared" si="10"/>
        <v>46268</v>
      </c>
      <c r="J84" s="51">
        <f t="shared" si="10"/>
        <v>46299</v>
      </c>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row>
    <row r="85" spans="1:51" s="7" customFormat="1" ht="13" x14ac:dyDescent="0.3">
      <c r="A85" s="41" t="s">
        <v>124</v>
      </c>
      <c r="C85" s="9"/>
      <c r="D85" s="9"/>
      <c r="E85" s="9"/>
      <c r="F85" s="9"/>
      <c r="G85" s="9"/>
      <c r="H85" s="9"/>
      <c r="I85" s="9"/>
      <c r="J85" s="9"/>
    </row>
    <row r="86" spans="1:51" s="7" customFormat="1" ht="13" x14ac:dyDescent="0.3">
      <c r="A86" s="14" t="s">
        <v>188</v>
      </c>
      <c r="C86" s="9"/>
      <c r="D86" s="9"/>
      <c r="E86" s="9"/>
      <c r="F86" s="9"/>
      <c r="G86" s="9"/>
      <c r="H86" s="9"/>
      <c r="I86" s="9"/>
      <c r="J86" s="9"/>
    </row>
    <row r="87" spans="1:51" s="43" customFormat="1" ht="13" x14ac:dyDescent="0.3">
      <c r="A87" s="43" t="str">
        <f>A67</f>
        <v>sales of organic fertiliser</v>
      </c>
      <c r="B87" s="45" t="str">
        <f>B67</f>
        <v>kilograms</v>
      </c>
      <c r="C87" s="42">
        <f>SUM(D87:AY87)</f>
        <v>1553724.976762326</v>
      </c>
      <c r="D87" s="42">
        <f>D67</f>
        <v>0</v>
      </c>
      <c r="E87" s="42">
        <f>E67</f>
        <v>0</v>
      </c>
      <c r="F87" s="42">
        <f>F67</f>
        <v>0</v>
      </c>
      <c r="G87" s="42">
        <f>G67</f>
        <v>0</v>
      </c>
      <c r="H87" s="42">
        <f>H67</f>
        <v>0</v>
      </c>
      <c r="I87" s="42">
        <f>I67</f>
        <v>0</v>
      </c>
      <c r="J87" s="42">
        <f>J67</f>
        <v>30000</v>
      </c>
      <c r="K87" s="42">
        <f>K67</f>
        <v>30300</v>
      </c>
      <c r="L87" s="42">
        <f>L67</f>
        <v>30603</v>
      </c>
      <c r="M87" s="42">
        <f>M67</f>
        <v>30909.03</v>
      </c>
      <c r="N87" s="42">
        <f>N67</f>
        <v>31218.120299999999</v>
      </c>
      <c r="O87" s="42">
        <f>O67</f>
        <v>31530.301502999999</v>
      </c>
      <c r="P87" s="42">
        <f>P67</f>
        <v>31845.604518029999</v>
      </c>
      <c r="Q87" s="42">
        <f>Q67</f>
        <v>32164.0605632103</v>
      </c>
      <c r="R87" s="42">
        <f>R67</f>
        <v>32485.701168842403</v>
      </c>
      <c r="S87" s="42">
        <f>S67</f>
        <v>32810.558180530825</v>
      </c>
      <c r="T87" s="42">
        <f>T67</f>
        <v>33138.663762336131</v>
      </c>
      <c r="U87" s="42">
        <f>U67</f>
        <v>33470.050399959495</v>
      </c>
      <c r="V87" s="42">
        <f>V67</f>
        <v>33804.750903959088</v>
      </c>
      <c r="W87" s="42">
        <f>W67</f>
        <v>34142.79841299868</v>
      </c>
      <c r="X87" s="42">
        <f>X67</f>
        <v>34484.226397128667</v>
      </c>
      <c r="Y87" s="42">
        <f>Y67</f>
        <v>34829.068661099955</v>
      </c>
      <c r="Z87" s="42">
        <f>Z67</f>
        <v>35177.359347710953</v>
      </c>
      <c r="AA87" s="42">
        <f>AA67</f>
        <v>35529.132941188065</v>
      </c>
      <c r="AB87" s="42">
        <f>AB67</f>
        <v>35884.42427059995</v>
      </c>
      <c r="AC87" s="42">
        <f>AC67</f>
        <v>36243.268513305949</v>
      </c>
      <c r="AD87" s="42">
        <f>AD67</f>
        <v>36605.701198439012</v>
      </c>
      <c r="AE87" s="42">
        <f>AE67</f>
        <v>36971.758210423402</v>
      </c>
      <c r="AF87" s="42">
        <f>AF67</f>
        <v>37341.475792527635</v>
      </c>
      <c r="AG87" s="42">
        <f>AG67</f>
        <v>37714.89055045291</v>
      </c>
      <c r="AH87" s="42">
        <f>AH67</f>
        <v>38092.039455957442</v>
      </c>
      <c r="AI87" s="42">
        <f>AI67</f>
        <v>38472.959850517014</v>
      </c>
      <c r="AJ87" s="42">
        <f>AJ67</f>
        <v>38857.689449022182</v>
      </c>
      <c r="AK87" s="42">
        <f>AK67</f>
        <v>39246.266343512405</v>
      </c>
      <c r="AL87" s="42">
        <f>AL67</f>
        <v>39638.729006947528</v>
      </c>
      <c r="AM87" s="42">
        <f>AM67</f>
        <v>40035.116297017004</v>
      </c>
      <c r="AN87" s="42">
        <f>AN67</f>
        <v>40435.467459987172</v>
      </c>
      <c r="AO87" s="42">
        <f>AO67</f>
        <v>40839.822134587048</v>
      </c>
      <c r="AP87" s="42">
        <f>AP67</f>
        <v>41248.220355932921</v>
      </c>
      <c r="AQ87" s="42">
        <f>AQ67</f>
        <v>41660.702559492252</v>
      </c>
      <c r="AR87" s="42">
        <f>AR67</f>
        <v>42077.309585087176</v>
      </c>
      <c r="AS87" s="42">
        <f>AS67</f>
        <v>42498.082680938045</v>
      </c>
      <c r="AT87" s="42">
        <f>AT67</f>
        <v>42923.063507747429</v>
      </c>
      <c r="AU87" s="42">
        <f>AU67</f>
        <v>43352.294142824903</v>
      </c>
      <c r="AV87" s="42">
        <f>AV67</f>
        <v>43785.817084253154</v>
      </c>
      <c r="AW87" s="42">
        <f>AW67</f>
        <v>43785.817084253154</v>
      </c>
      <c r="AX87" s="42">
        <f>AX67</f>
        <v>43785.817084253154</v>
      </c>
      <c r="AY87" s="42">
        <f>AY67</f>
        <v>43785.817084253154</v>
      </c>
    </row>
    <row r="88" spans="1:51" s="139" customFormat="1" ht="13" x14ac:dyDescent="0.3">
      <c r="A88" s="136" t="s">
        <v>40</v>
      </c>
      <c r="B88" s="136" t="s">
        <v>37</v>
      </c>
      <c r="C88" s="137"/>
      <c r="D88" s="138"/>
      <c r="E88" s="138"/>
      <c r="F88" s="138"/>
      <c r="G88" s="138"/>
      <c r="H88" s="138"/>
      <c r="I88" s="138">
        <v>10</v>
      </c>
      <c r="J88" s="138">
        <f>I88</f>
        <v>10</v>
      </c>
      <c r="K88" s="138">
        <f t="shared" ref="K88" si="11">J88</f>
        <v>10</v>
      </c>
      <c r="L88" s="138">
        <f t="shared" ref="L88" si="12">K88</f>
        <v>10</v>
      </c>
      <c r="M88" s="138">
        <f t="shared" ref="M88" si="13">L88</f>
        <v>10</v>
      </c>
      <c r="N88" s="138">
        <f t="shared" ref="N88" si="14">M88</f>
        <v>10</v>
      </c>
      <c r="O88" s="138">
        <f t="shared" ref="O88" si="15">N88</f>
        <v>10</v>
      </c>
      <c r="P88" s="138">
        <f t="shared" ref="P88" si="16">O88</f>
        <v>10</v>
      </c>
      <c r="Q88" s="138">
        <f t="shared" ref="Q88" si="17">P88</f>
        <v>10</v>
      </c>
      <c r="R88" s="138">
        <f t="shared" ref="R88" si="18">Q88</f>
        <v>10</v>
      </c>
      <c r="S88" s="138">
        <f t="shared" ref="S88" si="19">R88</f>
        <v>10</v>
      </c>
      <c r="T88" s="138">
        <f t="shared" ref="T88" si="20">S88</f>
        <v>10</v>
      </c>
      <c r="U88" s="138">
        <f t="shared" ref="U88" si="21">T88</f>
        <v>10</v>
      </c>
      <c r="V88" s="138">
        <f t="shared" ref="V88" si="22">U88</f>
        <v>10</v>
      </c>
      <c r="W88" s="138">
        <f t="shared" ref="W88" si="23">V88</f>
        <v>10</v>
      </c>
      <c r="X88" s="138">
        <f t="shared" ref="X88" si="24">W88</f>
        <v>10</v>
      </c>
      <c r="Y88" s="138">
        <f t="shared" ref="Y88" si="25">X88</f>
        <v>10</v>
      </c>
      <c r="Z88" s="138">
        <f t="shared" ref="Z88" si="26">Y88</f>
        <v>10</v>
      </c>
      <c r="AA88" s="138">
        <f t="shared" ref="AA88" si="27">Z88</f>
        <v>10</v>
      </c>
      <c r="AB88" s="138">
        <f t="shared" ref="AB88" si="28">AA88</f>
        <v>10</v>
      </c>
      <c r="AC88" s="138">
        <f t="shared" ref="AC88" si="29">AB88</f>
        <v>10</v>
      </c>
      <c r="AD88" s="138">
        <f t="shared" ref="AD88" si="30">AC88</f>
        <v>10</v>
      </c>
      <c r="AE88" s="138">
        <f t="shared" ref="AE88" si="31">AD88</f>
        <v>10</v>
      </c>
      <c r="AF88" s="138">
        <f t="shared" ref="AF88" si="32">AE88</f>
        <v>10</v>
      </c>
      <c r="AG88" s="138">
        <f t="shared" ref="AG88" si="33">AF88</f>
        <v>10</v>
      </c>
      <c r="AH88" s="138">
        <f t="shared" ref="AH88" si="34">AG88</f>
        <v>10</v>
      </c>
      <c r="AI88" s="138">
        <f t="shared" ref="AI88" si="35">AH88</f>
        <v>10</v>
      </c>
      <c r="AJ88" s="138">
        <f t="shared" ref="AJ88" si="36">AI88</f>
        <v>10</v>
      </c>
      <c r="AK88" s="138">
        <f t="shared" ref="AK88" si="37">AJ88</f>
        <v>10</v>
      </c>
      <c r="AL88" s="138">
        <f t="shared" ref="AL88" si="38">AK88</f>
        <v>10</v>
      </c>
      <c r="AM88" s="138">
        <f t="shared" ref="AM88" si="39">AL88</f>
        <v>10</v>
      </c>
      <c r="AN88" s="138">
        <f t="shared" ref="AN88" si="40">AM88</f>
        <v>10</v>
      </c>
      <c r="AO88" s="138">
        <f t="shared" ref="AO88" si="41">AN88</f>
        <v>10</v>
      </c>
      <c r="AP88" s="138">
        <f t="shared" ref="AP88" si="42">AO88</f>
        <v>10</v>
      </c>
      <c r="AQ88" s="138">
        <f t="shared" ref="AQ88" si="43">AP88</f>
        <v>10</v>
      </c>
      <c r="AR88" s="138">
        <f t="shared" ref="AR88" si="44">AQ88</f>
        <v>10</v>
      </c>
      <c r="AS88" s="138">
        <f t="shared" ref="AS88" si="45">AR88</f>
        <v>10</v>
      </c>
      <c r="AT88" s="138">
        <f t="shared" ref="AT88" si="46">AS88</f>
        <v>10</v>
      </c>
      <c r="AU88" s="138">
        <f t="shared" ref="AU88" si="47">AT88</f>
        <v>10</v>
      </c>
      <c r="AV88" s="138">
        <f t="shared" ref="AV88" si="48">AU88</f>
        <v>10</v>
      </c>
      <c r="AW88" s="138">
        <f t="shared" ref="AW88" si="49">AV88</f>
        <v>10</v>
      </c>
      <c r="AX88" s="138">
        <f t="shared" ref="AX88" si="50">AW88</f>
        <v>10</v>
      </c>
      <c r="AY88" s="138">
        <f t="shared" ref="AY88" si="51">AX88</f>
        <v>10</v>
      </c>
    </row>
    <row r="89" spans="1:51" s="45" customFormat="1" ht="13.5" thickBot="1" x14ac:dyDescent="0.35">
      <c r="A89" s="45" t="s">
        <v>54</v>
      </c>
      <c r="B89" s="55" t="s">
        <v>43</v>
      </c>
      <c r="C89" s="46"/>
      <c r="D89" s="46">
        <f t="shared" ref="D89:H89" si="52">E87/30*D88</f>
        <v>0</v>
      </c>
      <c r="E89" s="46">
        <f t="shared" si="52"/>
        <v>0</v>
      </c>
      <c r="F89" s="46">
        <f t="shared" si="52"/>
        <v>0</v>
      </c>
      <c r="G89" s="46">
        <f t="shared" si="52"/>
        <v>0</v>
      </c>
      <c r="H89" s="46">
        <f t="shared" si="52"/>
        <v>0</v>
      </c>
      <c r="I89" s="46">
        <f>J87/30*I88</f>
        <v>10000</v>
      </c>
      <c r="J89" s="46">
        <f t="shared" ref="J89:AY89" si="53">K87/30*J88</f>
        <v>10100</v>
      </c>
      <c r="K89" s="46">
        <f t="shared" si="53"/>
        <v>10201</v>
      </c>
      <c r="L89" s="46">
        <f t="shared" si="53"/>
        <v>10303.009999999998</v>
      </c>
      <c r="M89" s="46">
        <f t="shared" si="53"/>
        <v>10406.0401</v>
      </c>
      <c r="N89" s="46">
        <f t="shared" si="53"/>
        <v>10510.100500999999</v>
      </c>
      <c r="O89" s="46">
        <f t="shared" si="53"/>
        <v>10615.20150601</v>
      </c>
      <c r="P89" s="46">
        <f t="shared" si="53"/>
        <v>10721.353521070101</v>
      </c>
      <c r="Q89" s="46">
        <f t="shared" si="53"/>
        <v>10828.567056280801</v>
      </c>
      <c r="R89" s="46">
        <f t="shared" si="53"/>
        <v>10936.852726843608</v>
      </c>
      <c r="S89" s="46">
        <f t="shared" si="53"/>
        <v>11046.221254112044</v>
      </c>
      <c r="T89" s="46">
        <f t="shared" si="53"/>
        <v>11156.683466653165</v>
      </c>
      <c r="U89" s="46">
        <f t="shared" si="53"/>
        <v>11268.250301319697</v>
      </c>
      <c r="V89" s="46">
        <f t="shared" si="53"/>
        <v>11380.932804332893</v>
      </c>
      <c r="W89" s="46">
        <f t="shared" si="53"/>
        <v>11494.742132376223</v>
      </c>
      <c r="X89" s="46">
        <f t="shared" si="53"/>
        <v>11609.689553699984</v>
      </c>
      <c r="Y89" s="46">
        <f t="shared" si="53"/>
        <v>11725.786449236984</v>
      </c>
      <c r="Z89" s="46">
        <f t="shared" si="53"/>
        <v>11843.044313729355</v>
      </c>
      <c r="AA89" s="46">
        <f t="shared" si="53"/>
        <v>11961.47475686665</v>
      </c>
      <c r="AB89" s="46">
        <f t="shared" si="53"/>
        <v>12081.089504435316</v>
      </c>
      <c r="AC89" s="46">
        <f t="shared" si="53"/>
        <v>12201.900399479671</v>
      </c>
      <c r="AD89" s="46">
        <f t="shared" si="53"/>
        <v>12323.919403474467</v>
      </c>
      <c r="AE89" s="46">
        <f t="shared" si="53"/>
        <v>12447.158597509213</v>
      </c>
      <c r="AF89" s="46">
        <f t="shared" si="53"/>
        <v>12571.630183484303</v>
      </c>
      <c r="AG89" s="46">
        <f t="shared" si="53"/>
        <v>12697.346485319147</v>
      </c>
      <c r="AH89" s="46">
        <f t="shared" si="53"/>
        <v>12824.319950172337</v>
      </c>
      <c r="AI89" s="46">
        <f t="shared" si="53"/>
        <v>12952.563149674061</v>
      </c>
      <c r="AJ89" s="46">
        <f t="shared" si="53"/>
        <v>13082.088781170802</v>
      </c>
      <c r="AK89" s="46">
        <f t="shared" si="53"/>
        <v>13212.909668982509</v>
      </c>
      <c r="AL89" s="46">
        <f t="shared" si="53"/>
        <v>13345.038765672334</v>
      </c>
      <c r="AM89" s="46">
        <f t="shared" si="53"/>
        <v>13478.489153329057</v>
      </c>
      <c r="AN89" s="46">
        <f t="shared" si="53"/>
        <v>13613.274044862348</v>
      </c>
      <c r="AO89" s="46">
        <f t="shared" si="53"/>
        <v>13749.406785310974</v>
      </c>
      <c r="AP89" s="46">
        <f t="shared" si="53"/>
        <v>13886.900853164083</v>
      </c>
      <c r="AQ89" s="46">
        <f t="shared" si="53"/>
        <v>14025.769861695726</v>
      </c>
      <c r="AR89" s="46">
        <f t="shared" si="53"/>
        <v>14166.027560312683</v>
      </c>
      <c r="AS89" s="46">
        <f t="shared" si="53"/>
        <v>14307.687835915811</v>
      </c>
      <c r="AT89" s="46">
        <f t="shared" si="53"/>
        <v>14450.764714274967</v>
      </c>
      <c r="AU89" s="46">
        <f t="shared" si="53"/>
        <v>14595.272361417718</v>
      </c>
      <c r="AV89" s="46">
        <f t="shared" si="53"/>
        <v>14595.272361417718</v>
      </c>
      <c r="AW89" s="46">
        <f t="shared" si="53"/>
        <v>14595.272361417718</v>
      </c>
      <c r="AX89" s="46">
        <f t="shared" si="53"/>
        <v>14595.272361417718</v>
      </c>
      <c r="AY89" s="46">
        <f t="shared" si="53"/>
        <v>0</v>
      </c>
    </row>
    <row r="90" spans="1:51" s="45" customFormat="1" ht="13.5" thickBot="1" x14ac:dyDescent="0.35">
      <c r="A90" s="45" t="s">
        <v>53</v>
      </c>
      <c r="B90" s="55" t="s">
        <v>43</v>
      </c>
      <c r="C90" s="46"/>
      <c r="D90" s="66">
        <f>D89</f>
        <v>0</v>
      </c>
      <c r="E90" s="53">
        <f t="shared" ref="E90:AY90" si="54">E89-D89</f>
        <v>0</v>
      </c>
      <c r="F90" s="53">
        <f t="shared" si="54"/>
        <v>0</v>
      </c>
      <c r="G90" s="53">
        <f t="shared" si="54"/>
        <v>0</v>
      </c>
      <c r="H90" s="53">
        <f t="shared" si="54"/>
        <v>0</v>
      </c>
      <c r="I90" s="53">
        <f t="shared" si="54"/>
        <v>10000</v>
      </c>
      <c r="J90" s="53">
        <f t="shared" si="54"/>
        <v>100</v>
      </c>
      <c r="K90" s="53">
        <f t="shared" si="54"/>
        <v>101</v>
      </c>
      <c r="L90" s="53">
        <f t="shared" si="54"/>
        <v>102.0099999999984</v>
      </c>
      <c r="M90" s="53">
        <f t="shared" si="54"/>
        <v>103.03010000000177</v>
      </c>
      <c r="N90" s="53">
        <f t="shared" si="54"/>
        <v>104.06040099999882</v>
      </c>
      <c r="O90" s="53">
        <f t="shared" si="54"/>
        <v>105.10100501000124</v>
      </c>
      <c r="P90" s="53">
        <f t="shared" si="54"/>
        <v>106.15201506010089</v>
      </c>
      <c r="Q90" s="53">
        <f t="shared" si="54"/>
        <v>107.21353521069977</v>
      </c>
      <c r="R90" s="53">
        <f t="shared" si="54"/>
        <v>108.28567056280735</v>
      </c>
      <c r="S90" s="53">
        <f t="shared" si="54"/>
        <v>109.36852726843608</v>
      </c>
      <c r="T90" s="53">
        <f t="shared" si="54"/>
        <v>110.46221254112061</v>
      </c>
      <c r="U90" s="53">
        <f t="shared" si="54"/>
        <v>111.56683466653158</v>
      </c>
      <c r="V90" s="53">
        <f t="shared" si="54"/>
        <v>112.68250301319677</v>
      </c>
      <c r="W90" s="53">
        <f t="shared" si="54"/>
        <v>113.80932804332951</v>
      </c>
      <c r="X90" s="53">
        <f t="shared" si="54"/>
        <v>114.94742132376086</v>
      </c>
      <c r="Y90" s="53">
        <f t="shared" si="54"/>
        <v>116.09689553700082</v>
      </c>
      <c r="Z90" s="53">
        <f t="shared" si="54"/>
        <v>117.25786449237057</v>
      </c>
      <c r="AA90" s="53">
        <f t="shared" si="54"/>
        <v>118.43044313729479</v>
      </c>
      <c r="AB90" s="53">
        <f t="shared" si="54"/>
        <v>119.61474756866664</v>
      </c>
      <c r="AC90" s="53">
        <f t="shared" si="54"/>
        <v>120.81089504435477</v>
      </c>
      <c r="AD90" s="53">
        <f t="shared" si="54"/>
        <v>122.01900399479564</v>
      </c>
      <c r="AE90" s="53">
        <f t="shared" si="54"/>
        <v>123.23919403474611</v>
      </c>
      <c r="AF90" s="53">
        <f t="shared" si="54"/>
        <v>124.47158597509042</v>
      </c>
      <c r="AG90" s="53">
        <f t="shared" si="54"/>
        <v>125.71630183484376</v>
      </c>
      <c r="AH90" s="53">
        <f t="shared" si="54"/>
        <v>126.97346485319031</v>
      </c>
      <c r="AI90" s="53">
        <f t="shared" si="54"/>
        <v>128.24319950172321</v>
      </c>
      <c r="AJ90" s="53">
        <f t="shared" si="54"/>
        <v>129.52563149674097</v>
      </c>
      <c r="AK90" s="53">
        <f t="shared" si="54"/>
        <v>130.82088781170751</v>
      </c>
      <c r="AL90" s="53">
        <f t="shared" si="54"/>
        <v>132.12909668982502</v>
      </c>
      <c r="AM90" s="53">
        <f t="shared" si="54"/>
        <v>133.45038765672325</v>
      </c>
      <c r="AN90" s="53">
        <f t="shared" si="54"/>
        <v>134.78489153329065</v>
      </c>
      <c r="AO90" s="53">
        <f t="shared" si="54"/>
        <v>136.13274044862555</v>
      </c>
      <c r="AP90" s="53">
        <f t="shared" si="54"/>
        <v>137.4940678531093</v>
      </c>
      <c r="AQ90" s="53">
        <f t="shared" si="54"/>
        <v>138.86900853164298</v>
      </c>
      <c r="AR90" s="53">
        <f t="shared" si="54"/>
        <v>140.25769861695699</v>
      </c>
      <c r="AS90" s="53">
        <f t="shared" si="54"/>
        <v>141.66027560312796</v>
      </c>
      <c r="AT90" s="53">
        <f t="shared" si="54"/>
        <v>143.07687835915567</v>
      </c>
      <c r="AU90" s="53">
        <f t="shared" si="54"/>
        <v>144.50764714275101</v>
      </c>
      <c r="AV90" s="53">
        <f t="shared" si="54"/>
        <v>0</v>
      </c>
      <c r="AW90" s="53">
        <f t="shared" si="54"/>
        <v>0</v>
      </c>
      <c r="AX90" s="53">
        <f t="shared" si="54"/>
        <v>0</v>
      </c>
      <c r="AY90" s="53">
        <f t="shared" si="54"/>
        <v>-14595.272361417718</v>
      </c>
    </row>
    <row r="91" spans="1:51" s="14" customFormat="1" ht="13" x14ac:dyDescent="0.3">
      <c r="A91" s="54" t="s">
        <v>60</v>
      </c>
      <c r="B91" s="55" t="s">
        <v>43</v>
      </c>
      <c r="C91" s="42">
        <f>SUM(D91:AY91)</f>
        <v>1553724.9767623262</v>
      </c>
      <c r="D91" s="68">
        <f t="shared" ref="D91:AY91" si="55">D87+D90</f>
        <v>0</v>
      </c>
      <c r="E91" s="56">
        <f t="shared" si="55"/>
        <v>0</v>
      </c>
      <c r="F91" s="56">
        <f t="shared" si="55"/>
        <v>0</v>
      </c>
      <c r="G91" s="56">
        <f t="shared" si="55"/>
        <v>0</v>
      </c>
      <c r="H91" s="56">
        <f t="shared" si="55"/>
        <v>0</v>
      </c>
      <c r="I91" s="56">
        <f t="shared" si="55"/>
        <v>10000</v>
      </c>
      <c r="J91" s="56">
        <f t="shared" si="55"/>
        <v>30100</v>
      </c>
      <c r="K91" s="56">
        <f t="shared" si="55"/>
        <v>30401</v>
      </c>
      <c r="L91" s="56">
        <f t="shared" si="55"/>
        <v>30705.01</v>
      </c>
      <c r="M91" s="56">
        <f t="shared" si="55"/>
        <v>31012.060100000002</v>
      </c>
      <c r="N91" s="56">
        <f t="shared" si="55"/>
        <v>31322.180700999997</v>
      </c>
      <c r="O91" s="56">
        <f t="shared" si="55"/>
        <v>31635.40250801</v>
      </c>
      <c r="P91" s="56">
        <f t="shared" si="55"/>
        <v>31951.756533090098</v>
      </c>
      <c r="Q91" s="56">
        <f t="shared" si="55"/>
        <v>32271.274098421</v>
      </c>
      <c r="R91" s="56">
        <f t="shared" si="55"/>
        <v>32593.98683940521</v>
      </c>
      <c r="S91" s="56">
        <f t="shared" si="55"/>
        <v>32919.926707799263</v>
      </c>
      <c r="T91" s="56">
        <f t="shared" si="55"/>
        <v>33249.12597487725</v>
      </c>
      <c r="U91" s="56">
        <f t="shared" si="55"/>
        <v>33581.617234626028</v>
      </c>
      <c r="V91" s="56">
        <f t="shared" si="55"/>
        <v>33917.433406972283</v>
      </c>
      <c r="W91" s="56">
        <f t="shared" si="55"/>
        <v>34256.607741042011</v>
      </c>
      <c r="X91" s="56">
        <f t="shared" si="55"/>
        <v>34599.173818452429</v>
      </c>
      <c r="Y91" s="56">
        <f t="shared" si="55"/>
        <v>34945.165556636959</v>
      </c>
      <c r="Z91" s="56">
        <f t="shared" si="55"/>
        <v>35294.617212203324</v>
      </c>
      <c r="AA91" s="56">
        <f t="shared" si="55"/>
        <v>35647.56338432536</v>
      </c>
      <c r="AB91" s="56">
        <f t="shared" si="55"/>
        <v>36004.039018168616</v>
      </c>
      <c r="AC91" s="56">
        <f t="shared" si="55"/>
        <v>36364.079408350306</v>
      </c>
      <c r="AD91" s="56">
        <f t="shared" si="55"/>
        <v>36727.720202433804</v>
      </c>
      <c r="AE91" s="56">
        <f t="shared" si="55"/>
        <v>37094.997404458147</v>
      </c>
      <c r="AF91" s="56">
        <f t="shared" si="55"/>
        <v>37465.947378502722</v>
      </c>
      <c r="AG91" s="56">
        <f t="shared" si="55"/>
        <v>37840.606852287754</v>
      </c>
      <c r="AH91" s="56">
        <f t="shared" si="55"/>
        <v>38219.01292081063</v>
      </c>
      <c r="AI91" s="56">
        <f t="shared" si="55"/>
        <v>38601.203050018739</v>
      </c>
      <c r="AJ91" s="56">
        <f t="shared" si="55"/>
        <v>38987.215080518923</v>
      </c>
      <c r="AK91" s="56">
        <f t="shared" si="55"/>
        <v>39377.087231324113</v>
      </c>
      <c r="AL91" s="56">
        <f t="shared" si="55"/>
        <v>39770.858103637351</v>
      </c>
      <c r="AM91" s="56">
        <f t="shared" si="55"/>
        <v>40168.566684673729</v>
      </c>
      <c r="AN91" s="56">
        <f t="shared" si="55"/>
        <v>40570.252351520467</v>
      </c>
      <c r="AO91" s="56">
        <f t="shared" si="55"/>
        <v>40975.954875035677</v>
      </c>
      <c r="AP91" s="56">
        <f t="shared" si="55"/>
        <v>41385.714423786034</v>
      </c>
      <c r="AQ91" s="56">
        <f t="shared" si="55"/>
        <v>41799.571568023894</v>
      </c>
      <c r="AR91" s="56">
        <f t="shared" si="55"/>
        <v>42217.567283704135</v>
      </c>
      <c r="AS91" s="56">
        <f t="shared" si="55"/>
        <v>42639.742956541173</v>
      </c>
      <c r="AT91" s="56">
        <f t="shared" si="55"/>
        <v>43066.140386106585</v>
      </c>
      <c r="AU91" s="56">
        <f t="shared" si="55"/>
        <v>43496.801789967656</v>
      </c>
      <c r="AV91" s="56">
        <f t="shared" si="55"/>
        <v>43785.817084253154</v>
      </c>
      <c r="AW91" s="56">
        <f t="shared" si="55"/>
        <v>43785.817084253154</v>
      </c>
      <c r="AX91" s="56">
        <f t="shared" si="55"/>
        <v>43785.817084253154</v>
      </c>
      <c r="AY91" s="56">
        <f t="shared" si="55"/>
        <v>29190.544722835439</v>
      </c>
    </row>
    <row r="92" spans="1:51" s="45" customFormat="1" ht="13" x14ac:dyDescent="0.3">
      <c r="B92" s="7"/>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row>
    <row r="93" spans="1:51" s="7" customFormat="1" ht="13" x14ac:dyDescent="0.3">
      <c r="A93" s="41" t="s">
        <v>125</v>
      </c>
      <c r="C93" s="9"/>
      <c r="D93" s="9"/>
      <c r="E93" s="9"/>
      <c r="F93" s="9"/>
      <c r="G93" s="9"/>
      <c r="H93" s="9"/>
      <c r="I93" s="9"/>
      <c r="J93" s="9"/>
    </row>
    <row r="94" spans="1:51" s="7" customFormat="1" ht="13" x14ac:dyDescent="0.3">
      <c r="A94" s="14" t="s">
        <v>180</v>
      </c>
      <c r="C94" s="9"/>
      <c r="D94" s="9"/>
      <c r="E94" s="9"/>
      <c r="F94" s="9"/>
      <c r="G94" s="9"/>
      <c r="H94" s="9"/>
      <c r="I94" s="9"/>
      <c r="J94" s="9"/>
    </row>
    <row r="95" spans="1:51" s="139" customFormat="1" ht="13" x14ac:dyDescent="0.3">
      <c r="A95" s="136" t="s">
        <v>55</v>
      </c>
      <c r="B95" s="136" t="s">
        <v>58</v>
      </c>
      <c r="C95" s="137"/>
      <c r="D95" s="141"/>
      <c r="E95" s="141"/>
      <c r="F95" s="141"/>
      <c r="G95" s="141"/>
      <c r="H95" s="141"/>
      <c r="I95" s="141"/>
      <c r="J95" s="141">
        <v>0.03</v>
      </c>
      <c r="K95" s="141">
        <f t="shared" ref="K95:K98" si="56">J95</f>
        <v>0.03</v>
      </c>
      <c r="L95" s="141">
        <f t="shared" ref="L95:L98" si="57">K95</f>
        <v>0.03</v>
      </c>
      <c r="M95" s="141">
        <f t="shared" ref="M95:M98" si="58">L95</f>
        <v>0.03</v>
      </c>
      <c r="N95" s="141">
        <f t="shared" ref="N95:N98" si="59">M95</f>
        <v>0.03</v>
      </c>
      <c r="O95" s="141">
        <f t="shared" ref="O95:O98" si="60">N95</f>
        <v>0.03</v>
      </c>
      <c r="P95" s="141">
        <f t="shared" ref="P95:P98" si="61">O95</f>
        <v>0.03</v>
      </c>
      <c r="Q95" s="141">
        <f t="shared" ref="Q95:Q98" si="62">P95</f>
        <v>0.03</v>
      </c>
      <c r="R95" s="141">
        <f t="shared" ref="R95:R98" si="63">Q95</f>
        <v>0.03</v>
      </c>
      <c r="S95" s="141">
        <f t="shared" ref="S95:S98" si="64">R95</f>
        <v>0.03</v>
      </c>
      <c r="T95" s="141">
        <f t="shared" ref="T95:T98" si="65">S95</f>
        <v>0.03</v>
      </c>
      <c r="U95" s="141">
        <f t="shared" ref="U95:U98" si="66">T95</f>
        <v>0.03</v>
      </c>
      <c r="V95" s="141">
        <f t="shared" ref="V95:V98" si="67">U95</f>
        <v>0.03</v>
      </c>
      <c r="W95" s="141">
        <f t="shared" ref="W95:W98" si="68">V95</f>
        <v>0.03</v>
      </c>
      <c r="X95" s="141">
        <f t="shared" ref="X95:X98" si="69">W95</f>
        <v>0.03</v>
      </c>
      <c r="Y95" s="141">
        <f t="shared" ref="Y95:Y98" si="70">X95</f>
        <v>0.03</v>
      </c>
      <c r="Z95" s="141">
        <f t="shared" ref="Z95:Z98" si="71">Y95</f>
        <v>0.03</v>
      </c>
      <c r="AA95" s="141">
        <f t="shared" ref="AA95:AA98" si="72">Z95</f>
        <v>0.03</v>
      </c>
      <c r="AB95" s="141">
        <f t="shared" ref="AB95:AB98" si="73">AA95</f>
        <v>0.03</v>
      </c>
      <c r="AC95" s="141">
        <f t="shared" ref="AC95:AC98" si="74">AB95</f>
        <v>0.03</v>
      </c>
      <c r="AD95" s="141">
        <f t="shared" ref="AD95:AD98" si="75">AC95</f>
        <v>0.03</v>
      </c>
      <c r="AE95" s="141">
        <f t="shared" ref="AE95:AE98" si="76">AD95</f>
        <v>0.03</v>
      </c>
      <c r="AF95" s="141">
        <f t="shared" ref="AF95:AF98" si="77">AE95</f>
        <v>0.03</v>
      </c>
      <c r="AG95" s="141">
        <f t="shared" ref="AG95:AG98" si="78">AF95</f>
        <v>0.03</v>
      </c>
      <c r="AH95" s="141">
        <f t="shared" ref="AH95:AH98" si="79">AG95</f>
        <v>0.03</v>
      </c>
      <c r="AI95" s="141">
        <f t="shared" ref="AI95:AI98" si="80">AH95</f>
        <v>0.03</v>
      </c>
      <c r="AJ95" s="141">
        <f t="shared" ref="AJ95:AJ98" si="81">AI95</f>
        <v>0.03</v>
      </c>
      <c r="AK95" s="141">
        <f t="shared" ref="AK95:AK98" si="82">AJ95</f>
        <v>0.03</v>
      </c>
      <c r="AL95" s="141">
        <f t="shared" ref="AL95:AL98" si="83">AK95</f>
        <v>0.03</v>
      </c>
      <c r="AM95" s="141">
        <f t="shared" ref="AM95:AM98" si="84">AL95</f>
        <v>0.03</v>
      </c>
      <c r="AN95" s="141">
        <f t="shared" ref="AN95:AN98" si="85">AM95</f>
        <v>0.03</v>
      </c>
      <c r="AO95" s="141">
        <f t="shared" ref="AO95:AO98" si="86">AN95</f>
        <v>0.03</v>
      </c>
      <c r="AP95" s="141">
        <f t="shared" ref="AP95:AP98" si="87">AO95</f>
        <v>0.03</v>
      </c>
      <c r="AQ95" s="141">
        <f t="shared" ref="AQ95:AQ98" si="88">AP95</f>
        <v>0.03</v>
      </c>
      <c r="AR95" s="141">
        <f t="shared" ref="AR95:AR98" si="89">AQ95</f>
        <v>0.03</v>
      </c>
      <c r="AS95" s="141">
        <f t="shared" ref="AS95:AS98" si="90">AR95</f>
        <v>0.03</v>
      </c>
      <c r="AT95" s="141">
        <f t="shared" ref="AT95:AT98" si="91">AS95</f>
        <v>0.03</v>
      </c>
      <c r="AU95" s="141">
        <f t="shared" ref="AU95:AU98" si="92">AT95</f>
        <v>0.03</v>
      </c>
      <c r="AV95" s="141">
        <f t="shared" ref="AV95:AV98" si="93">AU95</f>
        <v>0.03</v>
      </c>
      <c r="AW95" s="141">
        <f t="shared" ref="AW95:AW98" si="94">AV95</f>
        <v>0.03</v>
      </c>
      <c r="AX95" s="141">
        <f t="shared" ref="AX95:AX98" si="95">AW95</f>
        <v>0.03</v>
      </c>
      <c r="AY95" s="141">
        <f t="shared" ref="AY95:AY98" si="96">AX95</f>
        <v>0.03</v>
      </c>
    </row>
    <row r="96" spans="1:51" s="139" customFormat="1" ht="13" x14ac:dyDescent="0.3">
      <c r="A96" s="136" t="s">
        <v>56</v>
      </c>
      <c r="B96" s="136" t="s">
        <v>58</v>
      </c>
      <c r="C96" s="137"/>
      <c r="D96" s="141"/>
      <c r="E96" s="141"/>
      <c r="F96" s="141"/>
      <c r="G96" s="141"/>
      <c r="H96" s="141"/>
      <c r="I96" s="141"/>
      <c r="J96" s="141">
        <v>7.0000000000000007E-2</v>
      </c>
      <c r="K96" s="141">
        <f t="shared" si="56"/>
        <v>7.0000000000000007E-2</v>
      </c>
      <c r="L96" s="141">
        <f t="shared" si="57"/>
        <v>7.0000000000000007E-2</v>
      </c>
      <c r="M96" s="141">
        <f t="shared" si="58"/>
        <v>7.0000000000000007E-2</v>
      </c>
      <c r="N96" s="141">
        <f t="shared" si="59"/>
        <v>7.0000000000000007E-2</v>
      </c>
      <c r="O96" s="141">
        <f t="shared" si="60"/>
        <v>7.0000000000000007E-2</v>
      </c>
      <c r="P96" s="141">
        <f t="shared" si="61"/>
        <v>7.0000000000000007E-2</v>
      </c>
      <c r="Q96" s="141">
        <f t="shared" si="62"/>
        <v>7.0000000000000007E-2</v>
      </c>
      <c r="R96" s="141">
        <f t="shared" si="63"/>
        <v>7.0000000000000007E-2</v>
      </c>
      <c r="S96" s="141">
        <f t="shared" si="64"/>
        <v>7.0000000000000007E-2</v>
      </c>
      <c r="T96" s="141">
        <f t="shared" si="65"/>
        <v>7.0000000000000007E-2</v>
      </c>
      <c r="U96" s="141">
        <f t="shared" si="66"/>
        <v>7.0000000000000007E-2</v>
      </c>
      <c r="V96" s="141">
        <f t="shared" si="67"/>
        <v>7.0000000000000007E-2</v>
      </c>
      <c r="W96" s="141">
        <f t="shared" si="68"/>
        <v>7.0000000000000007E-2</v>
      </c>
      <c r="X96" s="141">
        <f t="shared" si="69"/>
        <v>7.0000000000000007E-2</v>
      </c>
      <c r="Y96" s="141">
        <f t="shared" si="70"/>
        <v>7.0000000000000007E-2</v>
      </c>
      <c r="Z96" s="141">
        <f t="shared" si="71"/>
        <v>7.0000000000000007E-2</v>
      </c>
      <c r="AA96" s="141">
        <f t="shared" si="72"/>
        <v>7.0000000000000007E-2</v>
      </c>
      <c r="AB96" s="141">
        <f t="shared" si="73"/>
        <v>7.0000000000000007E-2</v>
      </c>
      <c r="AC96" s="141">
        <f t="shared" si="74"/>
        <v>7.0000000000000007E-2</v>
      </c>
      <c r="AD96" s="141">
        <f t="shared" si="75"/>
        <v>7.0000000000000007E-2</v>
      </c>
      <c r="AE96" s="141">
        <f t="shared" si="76"/>
        <v>7.0000000000000007E-2</v>
      </c>
      <c r="AF96" s="141">
        <f t="shared" si="77"/>
        <v>7.0000000000000007E-2</v>
      </c>
      <c r="AG96" s="141">
        <f t="shared" si="78"/>
        <v>7.0000000000000007E-2</v>
      </c>
      <c r="AH96" s="141">
        <f t="shared" si="79"/>
        <v>7.0000000000000007E-2</v>
      </c>
      <c r="AI96" s="141">
        <f t="shared" si="80"/>
        <v>7.0000000000000007E-2</v>
      </c>
      <c r="AJ96" s="141">
        <f t="shared" si="81"/>
        <v>7.0000000000000007E-2</v>
      </c>
      <c r="AK96" s="141">
        <f t="shared" si="82"/>
        <v>7.0000000000000007E-2</v>
      </c>
      <c r="AL96" s="141">
        <f t="shared" si="83"/>
        <v>7.0000000000000007E-2</v>
      </c>
      <c r="AM96" s="141">
        <f t="shared" si="84"/>
        <v>7.0000000000000007E-2</v>
      </c>
      <c r="AN96" s="141">
        <f t="shared" si="85"/>
        <v>7.0000000000000007E-2</v>
      </c>
      <c r="AO96" s="141">
        <f t="shared" si="86"/>
        <v>7.0000000000000007E-2</v>
      </c>
      <c r="AP96" s="141">
        <f t="shared" si="87"/>
        <v>7.0000000000000007E-2</v>
      </c>
      <c r="AQ96" s="141">
        <f t="shared" si="88"/>
        <v>7.0000000000000007E-2</v>
      </c>
      <c r="AR96" s="141">
        <f t="shared" si="89"/>
        <v>7.0000000000000007E-2</v>
      </c>
      <c r="AS96" s="141">
        <f t="shared" si="90"/>
        <v>7.0000000000000007E-2</v>
      </c>
      <c r="AT96" s="141">
        <f t="shared" si="91"/>
        <v>7.0000000000000007E-2</v>
      </c>
      <c r="AU96" s="141">
        <f t="shared" si="92"/>
        <v>7.0000000000000007E-2</v>
      </c>
      <c r="AV96" s="141">
        <f t="shared" si="93"/>
        <v>7.0000000000000007E-2</v>
      </c>
      <c r="AW96" s="141">
        <f t="shared" si="94"/>
        <v>7.0000000000000007E-2</v>
      </c>
      <c r="AX96" s="141">
        <f t="shared" si="95"/>
        <v>7.0000000000000007E-2</v>
      </c>
      <c r="AY96" s="141">
        <f t="shared" si="96"/>
        <v>7.0000000000000007E-2</v>
      </c>
    </row>
    <row r="97" spans="1:51" s="139" customFormat="1" ht="13" x14ac:dyDescent="0.3">
      <c r="A97" s="136" t="s">
        <v>57</v>
      </c>
      <c r="B97" s="136" t="s">
        <v>58</v>
      </c>
      <c r="C97" s="137"/>
      <c r="D97" s="141"/>
      <c r="E97" s="141"/>
      <c r="F97" s="141"/>
      <c r="G97" s="141"/>
      <c r="H97" s="141"/>
      <c r="I97" s="141"/>
      <c r="J97" s="141">
        <v>0.02</v>
      </c>
      <c r="K97" s="141">
        <f t="shared" ref="K97" si="97">J97</f>
        <v>0.02</v>
      </c>
      <c r="L97" s="141">
        <f t="shared" ref="L97" si="98">K97</f>
        <v>0.02</v>
      </c>
      <c r="M97" s="141">
        <f t="shared" ref="M97" si="99">L97</f>
        <v>0.02</v>
      </c>
      <c r="N97" s="141">
        <f t="shared" ref="N97" si="100">M97</f>
        <v>0.02</v>
      </c>
      <c r="O97" s="141">
        <f t="shared" ref="O97" si="101">N97</f>
        <v>0.02</v>
      </c>
      <c r="P97" s="141">
        <f t="shared" ref="P97" si="102">O97</f>
        <v>0.02</v>
      </c>
      <c r="Q97" s="141">
        <f t="shared" ref="Q97" si="103">P97</f>
        <v>0.02</v>
      </c>
      <c r="R97" s="141">
        <f t="shared" ref="R97" si="104">Q97</f>
        <v>0.02</v>
      </c>
      <c r="S97" s="141">
        <f t="shared" ref="S97" si="105">R97</f>
        <v>0.02</v>
      </c>
      <c r="T97" s="141">
        <f t="shared" ref="T97" si="106">S97</f>
        <v>0.02</v>
      </c>
      <c r="U97" s="141">
        <f t="shared" ref="U97" si="107">T97</f>
        <v>0.02</v>
      </c>
      <c r="V97" s="141">
        <f t="shared" ref="V97" si="108">U97</f>
        <v>0.02</v>
      </c>
      <c r="W97" s="141">
        <f t="shared" ref="W97" si="109">V97</f>
        <v>0.02</v>
      </c>
      <c r="X97" s="141">
        <f t="shared" ref="X97" si="110">W97</f>
        <v>0.02</v>
      </c>
      <c r="Y97" s="141">
        <f t="shared" ref="Y97" si="111">X97</f>
        <v>0.02</v>
      </c>
      <c r="Z97" s="141">
        <f t="shared" ref="Z97" si="112">Y97</f>
        <v>0.02</v>
      </c>
      <c r="AA97" s="141">
        <f t="shared" ref="AA97" si="113">Z97</f>
        <v>0.02</v>
      </c>
      <c r="AB97" s="141">
        <f t="shared" ref="AB97" si="114">AA97</f>
        <v>0.02</v>
      </c>
      <c r="AC97" s="141">
        <f t="shared" ref="AC97" si="115">AB97</f>
        <v>0.02</v>
      </c>
      <c r="AD97" s="141">
        <f t="shared" ref="AD97" si="116">AC97</f>
        <v>0.02</v>
      </c>
      <c r="AE97" s="141">
        <f t="shared" ref="AE97" si="117">AD97</f>
        <v>0.02</v>
      </c>
      <c r="AF97" s="141">
        <f t="shared" ref="AF97" si="118">AE97</f>
        <v>0.02</v>
      </c>
      <c r="AG97" s="141">
        <f t="shared" ref="AG97" si="119">AF97</f>
        <v>0.02</v>
      </c>
      <c r="AH97" s="141">
        <f t="shared" ref="AH97" si="120">AG97</f>
        <v>0.02</v>
      </c>
      <c r="AI97" s="141">
        <f t="shared" ref="AI97" si="121">AH97</f>
        <v>0.02</v>
      </c>
      <c r="AJ97" s="141">
        <f t="shared" ref="AJ97" si="122">AI97</f>
        <v>0.02</v>
      </c>
      <c r="AK97" s="141">
        <f t="shared" ref="AK97" si="123">AJ97</f>
        <v>0.02</v>
      </c>
      <c r="AL97" s="141">
        <f t="shared" ref="AL97" si="124">AK97</f>
        <v>0.02</v>
      </c>
      <c r="AM97" s="141">
        <f t="shared" ref="AM97" si="125">AL97</f>
        <v>0.02</v>
      </c>
      <c r="AN97" s="141">
        <f t="shared" ref="AN97" si="126">AM97</f>
        <v>0.02</v>
      </c>
      <c r="AO97" s="141">
        <f t="shared" ref="AO97" si="127">AN97</f>
        <v>0.02</v>
      </c>
      <c r="AP97" s="141">
        <f t="shared" ref="AP97" si="128">AO97</f>
        <v>0.02</v>
      </c>
      <c r="AQ97" s="141">
        <f t="shared" ref="AQ97" si="129">AP97</f>
        <v>0.02</v>
      </c>
      <c r="AR97" s="141">
        <f t="shared" ref="AR97" si="130">AQ97</f>
        <v>0.02</v>
      </c>
      <c r="AS97" s="141">
        <f t="shared" ref="AS97" si="131">AR97</f>
        <v>0.02</v>
      </c>
      <c r="AT97" s="141">
        <f t="shared" ref="AT97" si="132">AS97</f>
        <v>0.02</v>
      </c>
      <c r="AU97" s="141">
        <f t="shared" ref="AU97" si="133">AT97</f>
        <v>0.02</v>
      </c>
      <c r="AV97" s="141">
        <f t="shared" ref="AV97" si="134">AU97</f>
        <v>0.02</v>
      </c>
      <c r="AW97" s="141">
        <f t="shared" ref="AW97" si="135">AV97</f>
        <v>0.02</v>
      </c>
      <c r="AX97" s="141">
        <f t="shared" ref="AX97" si="136">AW97</f>
        <v>0.02</v>
      </c>
      <c r="AY97" s="141">
        <f t="shared" ref="AY97" si="137">AX97</f>
        <v>0.02</v>
      </c>
    </row>
    <row r="98" spans="1:51" s="139" customFormat="1" ht="13" x14ac:dyDescent="0.3">
      <c r="A98" s="136" t="s">
        <v>132</v>
      </c>
      <c r="B98" s="136" t="s">
        <v>58</v>
      </c>
      <c r="C98" s="137"/>
      <c r="D98" s="141"/>
      <c r="E98" s="141"/>
      <c r="F98" s="141"/>
      <c r="G98" s="141"/>
      <c r="H98" s="141"/>
      <c r="I98" s="141"/>
      <c r="J98" s="141">
        <v>0.01</v>
      </c>
      <c r="K98" s="141">
        <f t="shared" si="56"/>
        <v>0.01</v>
      </c>
      <c r="L98" s="141">
        <f t="shared" si="57"/>
        <v>0.01</v>
      </c>
      <c r="M98" s="141">
        <f t="shared" si="58"/>
        <v>0.01</v>
      </c>
      <c r="N98" s="141">
        <f t="shared" si="59"/>
        <v>0.01</v>
      </c>
      <c r="O98" s="141">
        <f t="shared" si="60"/>
        <v>0.01</v>
      </c>
      <c r="P98" s="141">
        <f t="shared" si="61"/>
        <v>0.01</v>
      </c>
      <c r="Q98" s="141">
        <f t="shared" si="62"/>
        <v>0.01</v>
      </c>
      <c r="R98" s="141">
        <f t="shared" si="63"/>
        <v>0.01</v>
      </c>
      <c r="S98" s="141">
        <f t="shared" si="64"/>
        <v>0.01</v>
      </c>
      <c r="T98" s="141">
        <f t="shared" si="65"/>
        <v>0.01</v>
      </c>
      <c r="U98" s="141">
        <f t="shared" si="66"/>
        <v>0.01</v>
      </c>
      <c r="V98" s="141">
        <f t="shared" si="67"/>
        <v>0.01</v>
      </c>
      <c r="W98" s="141">
        <f t="shared" si="68"/>
        <v>0.01</v>
      </c>
      <c r="X98" s="141">
        <f t="shared" si="69"/>
        <v>0.01</v>
      </c>
      <c r="Y98" s="141">
        <f t="shared" si="70"/>
        <v>0.01</v>
      </c>
      <c r="Z98" s="141">
        <f t="shared" si="71"/>
        <v>0.01</v>
      </c>
      <c r="AA98" s="141">
        <f t="shared" si="72"/>
        <v>0.01</v>
      </c>
      <c r="AB98" s="141">
        <f t="shared" si="73"/>
        <v>0.01</v>
      </c>
      <c r="AC98" s="141">
        <f t="shared" si="74"/>
        <v>0.01</v>
      </c>
      <c r="AD98" s="141">
        <f t="shared" si="75"/>
        <v>0.01</v>
      </c>
      <c r="AE98" s="141">
        <f t="shared" si="76"/>
        <v>0.01</v>
      </c>
      <c r="AF98" s="141">
        <f t="shared" si="77"/>
        <v>0.01</v>
      </c>
      <c r="AG98" s="141">
        <f t="shared" si="78"/>
        <v>0.01</v>
      </c>
      <c r="AH98" s="141">
        <f t="shared" si="79"/>
        <v>0.01</v>
      </c>
      <c r="AI98" s="141">
        <f t="shared" si="80"/>
        <v>0.01</v>
      </c>
      <c r="AJ98" s="141">
        <f t="shared" si="81"/>
        <v>0.01</v>
      </c>
      <c r="AK98" s="141">
        <f t="shared" si="82"/>
        <v>0.01</v>
      </c>
      <c r="AL98" s="141">
        <f t="shared" si="83"/>
        <v>0.01</v>
      </c>
      <c r="AM98" s="141">
        <f t="shared" si="84"/>
        <v>0.01</v>
      </c>
      <c r="AN98" s="141">
        <f t="shared" si="85"/>
        <v>0.01</v>
      </c>
      <c r="AO98" s="141">
        <f t="shared" si="86"/>
        <v>0.01</v>
      </c>
      <c r="AP98" s="141">
        <f t="shared" si="87"/>
        <v>0.01</v>
      </c>
      <c r="AQ98" s="141">
        <f t="shared" si="88"/>
        <v>0.01</v>
      </c>
      <c r="AR98" s="141">
        <f t="shared" si="89"/>
        <v>0.01</v>
      </c>
      <c r="AS98" s="141">
        <f t="shared" si="90"/>
        <v>0.01</v>
      </c>
      <c r="AT98" s="141">
        <f t="shared" si="91"/>
        <v>0.01</v>
      </c>
      <c r="AU98" s="141">
        <f t="shared" si="92"/>
        <v>0.01</v>
      </c>
      <c r="AV98" s="141">
        <f t="shared" si="93"/>
        <v>0.01</v>
      </c>
      <c r="AW98" s="141">
        <f t="shared" si="94"/>
        <v>0.01</v>
      </c>
      <c r="AX98" s="141">
        <f t="shared" si="95"/>
        <v>0.01</v>
      </c>
      <c r="AY98" s="141">
        <f t="shared" si="96"/>
        <v>0.01</v>
      </c>
    </row>
    <row r="99" spans="1:51" s="45" customFormat="1" ht="13" x14ac:dyDescent="0.3">
      <c r="A99" s="45" t="str">
        <f>A93</f>
        <v>3b.  variable cost of production</v>
      </c>
      <c r="B99" s="7" t="s">
        <v>59</v>
      </c>
      <c r="C99" s="46"/>
      <c r="D99" s="57">
        <f t="shared" ref="D99:AY99" si="138">SUM(D95:D98)</f>
        <v>0</v>
      </c>
      <c r="E99" s="57">
        <f t="shared" si="138"/>
        <v>0</v>
      </c>
      <c r="F99" s="57">
        <f t="shared" si="138"/>
        <v>0</v>
      </c>
      <c r="G99" s="57">
        <f t="shared" si="138"/>
        <v>0</v>
      </c>
      <c r="H99" s="57">
        <f t="shared" si="138"/>
        <v>0</v>
      </c>
      <c r="I99" s="57">
        <f t="shared" si="138"/>
        <v>0</v>
      </c>
      <c r="J99" s="57">
        <f t="shared" si="138"/>
        <v>0.13</v>
      </c>
      <c r="K99" s="57">
        <f t="shared" si="138"/>
        <v>0.13</v>
      </c>
      <c r="L99" s="57">
        <f t="shared" si="138"/>
        <v>0.13</v>
      </c>
      <c r="M99" s="57">
        <f t="shared" si="138"/>
        <v>0.13</v>
      </c>
      <c r="N99" s="57">
        <f t="shared" si="138"/>
        <v>0.13</v>
      </c>
      <c r="O99" s="57">
        <f t="shared" si="138"/>
        <v>0.13</v>
      </c>
      <c r="P99" s="57">
        <f t="shared" si="138"/>
        <v>0.13</v>
      </c>
      <c r="Q99" s="57">
        <f t="shared" si="138"/>
        <v>0.13</v>
      </c>
      <c r="R99" s="57">
        <f t="shared" si="138"/>
        <v>0.13</v>
      </c>
      <c r="S99" s="57">
        <f t="shared" si="138"/>
        <v>0.13</v>
      </c>
      <c r="T99" s="57">
        <f t="shared" si="138"/>
        <v>0.13</v>
      </c>
      <c r="U99" s="57">
        <f t="shared" si="138"/>
        <v>0.13</v>
      </c>
      <c r="V99" s="57">
        <f t="shared" si="138"/>
        <v>0.13</v>
      </c>
      <c r="W99" s="57">
        <f t="shared" si="138"/>
        <v>0.13</v>
      </c>
      <c r="X99" s="57">
        <f t="shared" si="138"/>
        <v>0.13</v>
      </c>
      <c r="Y99" s="57">
        <f t="shared" si="138"/>
        <v>0.13</v>
      </c>
      <c r="Z99" s="57">
        <f t="shared" si="138"/>
        <v>0.13</v>
      </c>
      <c r="AA99" s="57">
        <f t="shared" si="138"/>
        <v>0.13</v>
      </c>
      <c r="AB99" s="57">
        <f t="shared" si="138"/>
        <v>0.13</v>
      </c>
      <c r="AC99" s="57">
        <f t="shared" si="138"/>
        <v>0.13</v>
      </c>
      <c r="AD99" s="57">
        <f t="shared" si="138"/>
        <v>0.13</v>
      </c>
      <c r="AE99" s="57">
        <f t="shared" si="138"/>
        <v>0.13</v>
      </c>
      <c r="AF99" s="57">
        <f t="shared" si="138"/>
        <v>0.13</v>
      </c>
      <c r="AG99" s="57">
        <f t="shared" si="138"/>
        <v>0.13</v>
      </c>
      <c r="AH99" s="57">
        <f t="shared" si="138"/>
        <v>0.13</v>
      </c>
      <c r="AI99" s="57">
        <f t="shared" si="138"/>
        <v>0.13</v>
      </c>
      <c r="AJ99" s="57">
        <f t="shared" si="138"/>
        <v>0.13</v>
      </c>
      <c r="AK99" s="57">
        <f t="shared" si="138"/>
        <v>0.13</v>
      </c>
      <c r="AL99" s="57">
        <f t="shared" si="138"/>
        <v>0.13</v>
      </c>
      <c r="AM99" s="57">
        <f t="shared" si="138"/>
        <v>0.13</v>
      </c>
      <c r="AN99" s="57">
        <f t="shared" si="138"/>
        <v>0.13</v>
      </c>
      <c r="AO99" s="57">
        <f t="shared" si="138"/>
        <v>0.13</v>
      </c>
      <c r="AP99" s="57">
        <f t="shared" si="138"/>
        <v>0.13</v>
      </c>
      <c r="AQ99" s="57">
        <f t="shared" si="138"/>
        <v>0.13</v>
      </c>
      <c r="AR99" s="57">
        <f t="shared" si="138"/>
        <v>0.13</v>
      </c>
      <c r="AS99" s="57">
        <f t="shared" si="138"/>
        <v>0.13</v>
      </c>
      <c r="AT99" s="57">
        <f t="shared" si="138"/>
        <v>0.13</v>
      </c>
      <c r="AU99" s="57">
        <f t="shared" si="138"/>
        <v>0.13</v>
      </c>
      <c r="AV99" s="57">
        <f t="shared" si="138"/>
        <v>0.13</v>
      </c>
      <c r="AW99" s="57">
        <f t="shared" si="138"/>
        <v>0.13</v>
      </c>
      <c r="AX99" s="57">
        <f t="shared" si="138"/>
        <v>0.13</v>
      </c>
      <c r="AY99" s="57">
        <f t="shared" si="138"/>
        <v>0.13</v>
      </c>
    </row>
    <row r="100" spans="1:51" s="14" customFormat="1" ht="13" x14ac:dyDescent="0.3">
      <c r="A100" s="54" t="s">
        <v>61</v>
      </c>
      <c r="B100" s="55" t="s">
        <v>44</v>
      </c>
      <c r="C100" s="42">
        <f>SUM(D100:AY100)</f>
        <v>200684.24697910249</v>
      </c>
      <c r="D100" s="56">
        <f t="shared" ref="D100:AY100" si="139">D91*D99</f>
        <v>0</v>
      </c>
      <c r="E100" s="56">
        <f t="shared" si="139"/>
        <v>0</v>
      </c>
      <c r="F100" s="56">
        <f t="shared" si="139"/>
        <v>0</v>
      </c>
      <c r="G100" s="56">
        <f t="shared" si="139"/>
        <v>0</v>
      </c>
      <c r="H100" s="56">
        <f t="shared" si="139"/>
        <v>0</v>
      </c>
      <c r="I100" s="56">
        <f t="shared" si="139"/>
        <v>0</v>
      </c>
      <c r="J100" s="56">
        <f t="shared" si="139"/>
        <v>3913</v>
      </c>
      <c r="K100" s="56">
        <f t="shared" si="139"/>
        <v>3952.13</v>
      </c>
      <c r="L100" s="56">
        <f t="shared" si="139"/>
        <v>3991.6513</v>
      </c>
      <c r="M100" s="56">
        <f t="shared" si="139"/>
        <v>4031.5678130000006</v>
      </c>
      <c r="N100" s="56">
        <f t="shared" si="139"/>
        <v>4071.88349113</v>
      </c>
      <c r="O100" s="56">
        <f t="shared" si="139"/>
        <v>4112.6023260413003</v>
      </c>
      <c r="P100" s="56">
        <f t="shared" si="139"/>
        <v>4153.728349301713</v>
      </c>
      <c r="Q100" s="56">
        <f t="shared" si="139"/>
        <v>4195.2656327947298</v>
      </c>
      <c r="R100" s="56">
        <f t="shared" si="139"/>
        <v>4237.2182891226776</v>
      </c>
      <c r="S100" s="56">
        <f t="shared" si="139"/>
        <v>4279.5904720139042</v>
      </c>
      <c r="T100" s="56">
        <f t="shared" si="139"/>
        <v>4322.3863767340426</v>
      </c>
      <c r="U100" s="56">
        <f t="shared" si="139"/>
        <v>4365.6102405013835</v>
      </c>
      <c r="V100" s="56">
        <f t="shared" si="139"/>
        <v>4409.2663429063969</v>
      </c>
      <c r="W100" s="56">
        <f t="shared" si="139"/>
        <v>4453.3590063354613</v>
      </c>
      <c r="X100" s="56">
        <f t="shared" si="139"/>
        <v>4497.8925963988158</v>
      </c>
      <c r="Y100" s="56">
        <f t="shared" si="139"/>
        <v>4542.8715223628051</v>
      </c>
      <c r="Z100" s="56">
        <f t="shared" si="139"/>
        <v>4588.3002375864326</v>
      </c>
      <c r="AA100" s="56">
        <f t="shared" si="139"/>
        <v>4634.1832399622972</v>
      </c>
      <c r="AB100" s="56">
        <f t="shared" si="139"/>
        <v>4680.5250723619201</v>
      </c>
      <c r="AC100" s="56">
        <f t="shared" si="139"/>
        <v>4727.3303230855399</v>
      </c>
      <c r="AD100" s="56">
        <f t="shared" si="139"/>
        <v>4774.6036263163951</v>
      </c>
      <c r="AE100" s="56">
        <f t="shared" si="139"/>
        <v>4822.3496625795597</v>
      </c>
      <c r="AF100" s="56">
        <f t="shared" si="139"/>
        <v>4870.5731592053544</v>
      </c>
      <c r="AG100" s="56">
        <f t="shared" si="139"/>
        <v>4919.2788907974082</v>
      </c>
      <c r="AH100" s="56">
        <f t="shared" si="139"/>
        <v>4968.4716797053825</v>
      </c>
      <c r="AI100" s="56">
        <f t="shared" si="139"/>
        <v>5018.1563965024361</v>
      </c>
      <c r="AJ100" s="56">
        <f t="shared" si="139"/>
        <v>5068.3379604674601</v>
      </c>
      <c r="AK100" s="56">
        <f t="shared" si="139"/>
        <v>5119.021340072135</v>
      </c>
      <c r="AL100" s="56">
        <f t="shared" si="139"/>
        <v>5170.2115534728555</v>
      </c>
      <c r="AM100" s="56">
        <f t="shared" si="139"/>
        <v>5221.9136690075848</v>
      </c>
      <c r="AN100" s="56">
        <f t="shared" si="139"/>
        <v>5274.1328056976608</v>
      </c>
      <c r="AO100" s="56">
        <f t="shared" si="139"/>
        <v>5326.874133754638</v>
      </c>
      <c r="AP100" s="56">
        <f t="shared" si="139"/>
        <v>5380.142875092185</v>
      </c>
      <c r="AQ100" s="56">
        <f t="shared" si="139"/>
        <v>5433.9443038431064</v>
      </c>
      <c r="AR100" s="56">
        <f t="shared" si="139"/>
        <v>5488.2837468815378</v>
      </c>
      <c r="AS100" s="56">
        <f t="shared" si="139"/>
        <v>5543.1665843503524</v>
      </c>
      <c r="AT100" s="56">
        <f t="shared" si="139"/>
        <v>5598.5982501938561</v>
      </c>
      <c r="AU100" s="56">
        <f t="shared" si="139"/>
        <v>5654.5842326957954</v>
      </c>
      <c r="AV100" s="56">
        <f t="shared" si="139"/>
        <v>5692.1562209529102</v>
      </c>
      <c r="AW100" s="56">
        <f t="shared" si="139"/>
        <v>5692.1562209529102</v>
      </c>
      <c r="AX100" s="56">
        <f t="shared" si="139"/>
        <v>5692.1562209529102</v>
      </c>
      <c r="AY100" s="56">
        <f t="shared" si="139"/>
        <v>3794.7708139686069</v>
      </c>
    </row>
    <row r="101" spans="1:51" s="45" customFormat="1" ht="13" x14ac:dyDescent="0.3">
      <c r="B101" s="7"/>
      <c r="C101" s="46"/>
      <c r="D101" s="58"/>
      <c r="E101" s="58"/>
      <c r="F101" s="58"/>
      <c r="G101" s="58"/>
      <c r="H101" s="58"/>
      <c r="I101" s="58"/>
      <c r="J101" s="58"/>
    </row>
    <row r="102" spans="1:51" s="7" customFormat="1" ht="13" x14ac:dyDescent="0.3">
      <c r="A102" s="41" t="s">
        <v>126</v>
      </c>
      <c r="C102" s="9"/>
      <c r="D102" s="9"/>
      <c r="E102" s="9"/>
      <c r="F102" s="9"/>
      <c r="G102" s="9"/>
      <c r="H102" s="9"/>
      <c r="I102" s="9"/>
      <c r="J102" s="9"/>
    </row>
    <row r="103" spans="1:51" s="7" customFormat="1" ht="13" x14ac:dyDescent="0.3">
      <c r="A103" s="14" t="s">
        <v>181</v>
      </c>
      <c r="C103" s="9"/>
      <c r="D103" s="9"/>
      <c r="E103" s="9"/>
      <c r="F103" s="9"/>
      <c r="G103" s="9"/>
      <c r="H103" s="9"/>
      <c r="I103" s="9"/>
      <c r="J103" s="9"/>
    </row>
    <row r="104" spans="1:51" s="139" customFormat="1" ht="13" x14ac:dyDescent="0.3">
      <c r="A104" s="136" t="s">
        <v>38</v>
      </c>
      <c r="B104" s="136" t="s">
        <v>44</v>
      </c>
      <c r="C104" s="137">
        <f t="shared" ref="C104:C110" si="140">SUM(D104:AY104)</f>
        <v>46080</v>
      </c>
      <c r="D104" s="138">
        <f>2*3*40*4</f>
        <v>960</v>
      </c>
      <c r="E104" s="138">
        <f>D104</f>
        <v>960</v>
      </c>
      <c r="F104" s="138">
        <f t="shared" ref="F104:AY109" si="141">E104</f>
        <v>960</v>
      </c>
      <c r="G104" s="138">
        <f t="shared" si="141"/>
        <v>960</v>
      </c>
      <c r="H104" s="138">
        <f t="shared" si="141"/>
        <v>960</v>
      </c>
      <c r="I104" s="138">
        <f t="shared" si="141"/>
        <v>960</v>
      </c>
      <c r="J104" s="138">
        <f t="shared" si="141"/>
        <v>960</v>
      </c>
      <c r="K104" s="138">
        <f t="shared" si="141"/>
        <v>960</v>
      </c>
      <c r="L104" s="138">
        <f t="shared" si="141"/>
        <v>960</v>
      </c>
      <c r="M104" s="138">
        <f t="shared" si="141"/>
        <v>960</v>
      </c>
      <c r="N104" s="138">
        <f t="shared" si="141"/>
        <v>960</v>
      </c>
      <c r="O104" s="138">
        <f t="shared" si="141"/>
        <v>960</v>
      </c>
      <c r="P104" s="138">
        <f t="shared" si="141"/>
        <v>960</v>
      </c>
      <c r="Q104" s="138">
        <f t="shared" si="141"/>
        <v>960</v>
      </c>
      <c r="R104" s="138">
        <f t="shared" si="141"/>
        <v>960</v>
      </c>
      <c r="S104" s="138">
        <f t="shared" si="141"/>
        <v>960</v>
      </c>
      <c r="T104" s="138">
        <f t="shared" si="141"/>
        <v>960</v>
      </c>
      <c r="U104" s="138">
        <f t="shared" si="141"/>
        <v>960</v>
      </c>
      <c r="V104" s="138">
        <f t="shared" si="141"/>
        <v>960</v>
      </c>
      <c r="W104" s="138">
        <f t="shared" si="141"/>
        <v>960</v>
      </c>
      <c r="X104" s="138">
        <f t="shared" si="141"/>
        <v>960</v>
      </c>
      <c r="Y104" s="138">
        <f t="shared" si="141"/>
        <v>960</v>
      </c>
      <c r="Z104" s="138">
        <f t="shared" si="141"/>
        <v>960</v>
      </c>
      <c r="AA104" s="138">
        <f t="shared" si="141"/>
        <v>960</v>
      </c>
      <c r="AB104" s="138">
        <f t="shared" si="141"/>
        <v>960</v>
      </c>
      <c r="AC104" s="138">
        <f t="shared" si="141"/>
        <v>960</v>
      </c>
      <c r="AD104" s="138">
        <f t="shared" si="141"/>
        <v>960</v>
      </c>
      <c r="AE104" s="138">
        <f t="shared" si="141"/>
        <v>960</v>
      </c>
      <c r="AF104" s="138">
        <f t="shared" si="141"/>
        <v>960</v>
      </c>
      <c r="AG104" s="138">
        <f t="shared" si="141"/>
        <v>960</v>
      </c>
      <c r="AH104" s="138">
        <f t="shared" si="141"/>
        <v>960</v>
      </c>
      <c r="AI104" s="138">
        <f t="shared" si="141"/>
        <v>960</v>
      </c>
      <c r="AJ104" s="138">
        <f t="shared" si="141"/>
        <v>960</v>
      </c>
      <c r="AK104" s="138">
        <f t="shared" si="141"/>
        <v>960</v>
      </c>
      <c r="AL104" s="138">
        <f t="shared" si="141"/>
        <v>960</v>
      </c>
      <c r="AM104" s="138">
        <f t="shared" si="141"/>
        <v>960</v>
      </c>
      <c r="AN104" s="138">
        <f t="shared" si="141"/>
        <v>960</v>
      </c>
      <c r="AO104" s="138">
        <f t="shared" si="141"/>
        <v>960</v>
      </c>
      <c r="AP104" s="138">
        <f t="shared" si="141"/>
        <v>960</v>
      </c>
      <c r="AQ104" s="138">
        <f t="shared" si="141"/>
        <v>960</v>
      </c>
      <c r="AR104" s="138">
        <f t="shared" si="141"/>
        <v>960</v>
      </c>
      <c r="AS104" s="138">
        <f t="shared" si="141"/>
        <v>960</v>
      </c>
      <c r="AT104" s="138">
        <f t="shared" si="141"/>
        <v>960</v>
      </c>
      <c r="AU104" s="138">
        <f t="shared" si="141"/>
        <v>960</v>
      </c>
      <c r="AV104" s="138">
        <f t="shared" si="141"/>
        <v>960</v>
      </c>
      <c r="AW104" s="138">
        <f t="shared" si="141"/>
        <v>960</v>
      </c>
      <c r="AX104" s="138">
        <f t="shared" si="141"/>
        <v>960</v>
      </c>
      <c r="AY104" s="138">
        <f t="shared" si="141"/>
        <v>960</v>
      </c>
    </row>
    <row r="105" spans="1:51" s="139" customFormat="1" ht="13" x14ac:dyDescent="0.3">
      <c r="A105" s="136" t="s">
        <v>39</v>
      </c>
      <c r="B105" s="136" t="s">
        <v>44</v>
      </c>
      <c r="C105" s="137">
        <f t="shared" si="140"/>
        <v>2400</v>
      </c>
      <c r="D105" s="138">
        <v>50</v>
      </c>
      <c r="E105" s="138">
        <f t="shared" ref="E105:T109" si="142">D105</f>
        <v>50</v>
      </c>
      <c r="F105" s="138">
        <f t="shared" si="142"/>
        <v>50</v>
      </c>
      <c r="G105" s="138">
        <f t="shared" si="142"/>
        <v>50</v>
      </c>
      <c r="H105" s="138">
        <f t="shared" si="142"/>
        <v>50</v>
      </c>
      <c r="I105" s="138">
        <f t="shared" si="142"/>
        <v>50</v>
      </c>
      <c r="J105" s="138">
        <f t="shared" si="142"/>
        <v>50</v>
      </c>
      <c r="K105" s="138">
        <f t="shared" si="142"/>
        <v>50</v>
      </c>
      <c r="L105" s="138">
        <f t="shared" si="142"/>
        <v>50</v>
      </c>
      <c r="M105" s="138">
        <f t="shared" si="142"/>
        <v>50</v>
      </c>
      <c r="N105" s="138">
        <f t="shared" si="142"/>
        <v>50</v>
      </c>
      <c r="O105" s="138">
        <f t="shared" si="142"/>
        <v>50</v>
      </c>
      <c r="P105" s="138">
        <f t="shared" si="142"/>
        <v>50</v>
      </c>
      <c r="Q105" s="138">
        <f t="shared" si="142"/>
        <v>50</v>
      </c>
      <c r="R105" s="138">
        <f t="shared" si="142"/>
        <v>50</v>
      </c>
      <c r="S105" s="138">
        <f t="shared" si="142"/>
        <v>50</v>
      </c>
      <c r="T105" s="138">
        <f t="shared" si="142"/>
        <v>50</v>
      </c>
      <c r="U105" s="138">
        <f t="shared" si="141"/>
        <v>50</v>
      </c>
      <c r="V105" s="138">
        <f t="shared" si="141"/>
        <v>50</v>
      </c>
      <c r="W105" s="138">
        <f t="shared" si="141"/>
        <v>50</v>
      </c>
      <c r="X105" s="138">
        <f t="shared" si="141"/>
        <v>50</v>
      </c>
      <c r="Y105" s="138">
        <f t="shared" si="141"/>
        <v>50</v>
      </c>
      <c r="Z105" s="138">
        <f t="shared" si="141"/>
        <v>50</v>
      </c>
      <c r="AA105" s="138">
        <f t="shared" si="141"/>
        <v>50</v>
      </c>
      <c r="AB105" s="138">
        <f t="shared" si="141"/>
        <v>50</v>
      </c>
      <c r="AC105" s="138">
        <f t="shared" si="141"/>
        <v>50</v>
      </c>
      <c r="AD105" s="138">
        <f t="shared" si="141"/>
        <v>50</v>
      </c>
      <c r="AE105" s="138">
        <f t="shared" si="141"/>
        <v>50</v>
      </c>
      <c r="AF105" s="138">
        <f t="shared" si="141"/>
        <v>50</v>
      </c>
      <c r="AG105" s="138">
        <f t="shared" si="141"/>
        <v>50</v>
      </c>
      <c r="AH105" s="138">
        <f t="shared" si="141"/>
        <v>50</v>
      </c>
      <c r="AI105" s="138">
        <f t="shared" si="141"/>
        <v>50</v>
      </c>
      <c r="AJ105" s="138">
        <f t="shared" si="141"/>
        <v>50</v>
      </c>
      <c r="AK105" s="138">
        <f t="shared" si="141"/>
        <v>50</v>
      </c>
      <c r="AL105" s="138">
        <f t="shared" si="141"/>
        <v>50</v>
      </c>
      <c r="AM105" s="138">
        <f t="shared" si="141"/>
        <v>50</v>
      </c>
      <c r="AN105" s="138">
        <f t="shared" si="141"/>
        <v>50</v>
      </c>
      <c r="AO105" s="138">
        <f t="shared" si="141"/>
        <v>50</v>
      </c>
      <c r="AP105" s="138">
        <f t="shared" si="141"/>
        <v>50</v>
      </c>
      <c r="AQ105" s="138">
        <f t="shared" si="141"/>
        <v>50</v>
      </c>
      <c r="AR105" s="138">
        <f t="shared" si="141"/>
        <v>50</v>
      </c>
      <c r="AS105" s="138">
        <f t="shared" si="141"/>
        <v>50</v>
      </c>
      <c r="AT105" s="138">
        <f t="shared" si="141"/>
        <v>50</v>
      </c>
      <c r="AU105" s="138">
        <f t="shared" si="141"/>
        <v>50</v>
      </c>
      <c r="AV105" s="138">
        <f t="shared" si="141"/>
        <v>50</v>
      </c>
      <c r="AW105" s="138">
        <f t="shared" si="141"/>
        <v>50</v>
      </c>
      <c r="AX105" s="138">
        <f t="shared" si="141"/>
        <v>50</v>
      </c>
      <c r="AY105" s="138">
        <f t="shared" si="141"/>
        <v>50</v>
      </c>
    </row>
    <row r="106" spans="1:51" s="139" customFormat="1" ht="13" x14ac:dyDescent="0.3">
      <c r="A106" s="136" t="s">
        <v>26</v>
      </c>
      <c r="B106" s="136" t="s">
        <v>44</v>
      </c>
      <c r="C106" s="137">
        <f t="shared" si="140"/>
        <v>480</v>
      </c>
      <c r="D106" s="138">
        <v>10</v>
      </c>
      <c r="E106" s="138">
        <f t="shared" si="142"/>
        <v>10</v>
      </c>
      <c r="F106" s="138">
        <f t="shared" si="141"/>
        <v>10</v>
      </c>
      <c r="G106" s="138">
        <f t="shared" si="141"/>
        <v>10</v>
      </c>
      <c r="H106" s="138">
        <f t="shared" si="141"/>
        <v>10</v>
      </c>
      <c r="I106" s="138">
        <f t="shared" si="141"/>
        <v>10</v>
      </c>
      <c r="J106" s="138">
        <f t="shared" si="141"/>
        <v>10</v>
      </c>
      <c r="K106" s="138">
        <f t="shared" si="141"/>
        <v>10</v>
      </c>
      <c r="L106" s="138">
        <f t="shared" si="141"/>
        <v>10</v>
      </c>
      <c r="M106" s="138">
        <f t="shared" si="141"/>
        <v>10</v>
      </c>
      <c r="N106" s="138">
        <f t="shared" si="141"/>
        <v>10</v>
      </c>
      <c r="O106" s="138">
        <f t="shared" si="141"/>
        <v>10</v>
      </c>
      <c r="P106" s="138">
        <f t="shared" si="141"/>
        <v>10</v>
      </c>
      <c r="Q106" s="138">
        <f t="shared" si="141"/>
        <v>10</v>
      </c>
      <c r="R106" s="138">
        <f t="shared" si="141"/>
        <v>10</v>
      </c>
      <c r="S106" s="138">
        <f t="shared" si="141"/>
        <v>10</v>
      </c>
      <c r="T106" s="138">
        <f t="shared" si="141"/>
        <v>10</v>
      </c>
      <c r="U106" s="138">
        <f t="shared" si="141"/>
        <v>10</v>
      </c>
      <c r="V106" s="138">
        <f t="shared" si="141"/>
        <v>10</v>
      </c>
      <c r="W106" s="138">
        <f t="shared" si="141"/>
        <v>10</v>
      </c>
      <c r="X106" s="138">
        <f t="shared" si="141"/>
        <v>10</v>
      </c>
      <c r="Y106" s="138">
        <f t="shared" si="141"/>
        <v>10</v>
      </c>
      <c r="Z106" s="138">
        <f t="shared" si="141"/>
        <v>10</v>
      </c>
      <c r="AA106" s="138">
        <f t="shared" si="141"/>
        <v>10</v>
      </c>
      <c r="AB106" s="138">
        <f t="shared" si="141"/>
        <v>10</v>
      </c>
      <c r="AC106" s="138">
        <f t="shared" si="141"/>
        <v>10</v>
      </c>
      <c r="AD106" s="138">
        <f t="shared" si="141"/>
        <v>10</v>
      </c>
      <c r="AE106" s="138">
        <f t="shared" si="141"/>
        <v>10</v>
      </c>
      <c r="AF106" s="138">
        <f t="shared" si="141"/>
        <v>10</v>
      </c>
      <c r="AG106" s="138">
        <f t="shared" si="141"/>
        <v>10</v>
      </c>
      <c r="AH106" s="138">
        <f t="shared" si="141"/>
        <v>10</v>
      </c>
      <c r="AI106" s="138">
        <f t="shared" si="141"/>
        <v>10</v>
      </c>
      <c r="AJ106" s="138">
        <f t="shared" si="141"/>
        <v>10</v>
      </c>
      <c r="AK106" s="138">
        <f t="shared" si="141"/>
        <v>10</v>
      </c>
      <c r="AL106" s="138">
        <f t="shared" si="141"/>
        <v>10</v>
      </c>
      <c r="AM106" s="138">
        <f t="shared" si="141"/>
        <v>10</v>
      </c>
      <c r="AN106" s="138">
        <f t="shared" si="141"/>
        <v>10</v>
      </c>
      <c r="AO106" s="138">
        <f t="shared" si="141"/>
        <v>10</v>
      </c>
      <c r="AP106" s="138">
        <f t="shared" si="141"/>
        <v>10</v>
      </c>
      <c r="AQ106" s="138">
        <f t="shared" si="141"/>
        <v>10</v>
      </c>
      <c r="AR106" s="138">
        <f t="shared" si="141"/>
        <v>10</v>
      </c>
      <c r="AS106" s="138">
        <f t="shared" si="141"/>
        <v>10</v>
      </c>
      <c r="AT106" s="138">
        <f t="shared" si="141"/>
        <v>10</v>
      </c>
      <c r="AU106" s="138">
        <f t="shared" si="141"/>
        <v>10</v>
      </c>
      <c r="AV106" s="138">
        <f t="shared" si="141"/>
        <v>10</v>
      </c>
      <c r="AW106" s="138">
        <f t="shared" si="141"/>
        <v>10</v>
      </c>
      <c r="AX106" s="138">
        <f t="shared" si="141"/>
        <v>10</v>
      </c>
      <c r="AY106" s="138">
        <f t="shared" si="141"/>
        <v>10</v>
      </c>
    </row>
    <row r="107" spans="1:51" s="139" customFormat="1" ht="13" x14ac:dyDescent="0.3">
      <c r="A107" s="136" t="s">
        <v>63</v>
      </c>
      <c r="B107" s="136" t="s">
        <v>44</v>
      </c>
      <c r="C107" s="137">
        <f t="shared" si="140"/>
        <v>1920</v>
      </c>
      <c r="D107" s="138">
        <f>5*8</f>
        <v>40</v>
      </c>
      <c r="E107" s="138">
        <f t="shared" si="142"/>
        <v>40</v>
      </c>
      <c r="F107" s="138">
        <f t="shared" si="141"/>
        <v>40</v>
      </c>
      <c r="G107" s="138">
        <f t="shared" si="141"/>
        <v>40</v>
      </c>
      <c r="H107" s="138">
        <f t="shared" si="141"/>
        <v>40</v>
      </c>
      <c r="I107" s="138">
        <f t="shared" si="141"/>
        <v>40</v>
      </c>
      <c r="J107" s="138">
        <f t="shared" si="141"/>
        <v>40</v>
      </c>
      <c r="K107" s="138">
        <f t="shared" si="141"/>
        <v>40</v>
      </c>
      <c r="L107" s="138">
        <f t="shared" si="141"/>
        <v>40</v>
      </c>
      <c r="M107" s="138">
        <f t="shared" si="141"/>
        <v>40</v>
      </c>
      <c r="N107" s="138">
        <f t="shared" si="141"/>
        <v>40</v>
      </c>
      <c r="O107" s="138">
        <f t="shared" si="141"/>
        <v>40</v>
      </c>
      <c r="P107" s="138">
        <f t="shared" si="141"/>
        <v>40</v>
      </c>
      <c r="Q107" s="138">
        <f t="shared" si="141"/>
        <v>40</v>
      </c>
      <c r="R107" s="138">
        <f t="shared" si="141"/>
        <v>40</v>
      </c>
      <c r="S107" s="138">
        <f t="shared" si="141"/>
        <v>40</v>
      </c>
      <c r="T107" s="138">
        <f t="shared" si="141"/>
        <v>40</v>
      </c>
      <c r="U107" s="138">
        <f t="shared" si="141"/>
        <v>40</v>
      </c>
      <c r="V107" s="138">
        <f t="shared" si="141"/>
        <v>40</v>
      </c>
      <c r="W107" s="138">
        <f t="shared" si="141"/>
        <v>40</v>
      </c>
      <c r="X107" s="138">
        <f t="shared" si="141"/>
        <v>40</v>
      </c>
      <c r="Y107" s="138">
        <f t="shared" si="141"/>
        <v>40</v>
      </c>
      <c r="Z107" s="138">
        <f t="shared" si="141"/>
        <v>40</v>
      </c>
      <c r="AA107" s="138">
        <f t="shared" si="141"/>
        <v>40</v>
      </c>
      <c r="AB107" s="138">
        <f t="shared" si="141"/>
        <v>40</v>
      </c>
      <c r="AC107" s="138">
        <f t="shared" si="141"/>
        <v>40</v>
      </c>
      <c r="AD107" s="138">
        <f t="shared" si="141"/>
        <v>40</v>
      </c>
      <c r="AE107" s="138">
        <f t="shared" si="141"/>
        <v>40</v>
      </c>
      <c r="AF107" s="138">
        <f t="shared" si="141"/>
        <v>40</v>
      </c>
      <c r="AG107" s="138">
        <f t="shared" si="141"/>
        <v>40</v>
      </c>
      <c r="AH107" s="138">
        <f t="shared" si="141"/>
        <v>40</v>
      </c>
      <c r="AI107" s="138">
        <f t="shared" si="141"/>
        <v>40</v>
      </c>
      <c r="AJ107" s="138">
        <f t="shared" si="141"/>
        <v>40</v>
      </c>
      <c r="AK107" s="138">
        <f t="shared" si="141"/>
        <v>40</v>
      </c>
      <c r="AL107" s="138">
        <f t="shared" si="141"/>
        <v>40</v>
      </c>
      <c r="AM107" s="138">
        <f t="shared" si="141"/>
        <v>40</v>
      </c>
      <c r="AN107" s="138">
        <f t="shared" si="141"/>
        <v>40</v>
      </c>
      <c r="AO107" s="138">
        <f t="shared" si="141"/>
        <v>40</v>
      </c>
      <c r="AP107" s="138">
        <f t="shared" si="141"/>
        <v>40</v>
      </c>
      <c r="AQ107" s="138">
        <f t="shared" si="141"/>
        <v>40</v>
      </c>
      <c r="AR107" s="138">
        <f t="shared" si="141"/>
        <v>40</v>
      </c>
      <c r="AS107" s="138">
        <f t="shared" si="141"/>
        <v>40</v>
      </c>
      <c r="AT107" s="138">
        <f t="shared" si="141"/>
        <v>40</v>
      </c>
      <c r="AU107" s="138">
        <f t="shared" si="141"/>
        <v>40</v>
      </c>
      <c r="AV107" s="138">
        <f t="shared" si="141"/>
        <v>40</v>
      </c>
      <c r="AW107" s="138">
        <f t="shared" si="141"/>
        <v>40</v>
      </c>
      <c r="AX107" s="138">
        <f t="shared" si="141"/>
        <v>40</v>
      </c>
      <c r="AY107" s="138">
        <f t="shared" si="141"/>
        <v>40</v>
      </c>
    </row>
    <row r="108" spans="1:51" s="139" customFormat="1" ht="13" x14ac:dyDescent="0.3">
      <c r="A108" s="136" t="s">
        <v>64</v>
      </c>
      <c r="B108" s="136" t="s">
        <v>44</v>
      </c>
      <c r="C108" s="137">
        <f t="shared" si="140"/>
        <v>4800</v>
      </c>
      <c r="D108" s="138">
        <v>100</v>
      </c>
      <c r="E108" s="138">
        <f t="shared" si="142"/>
        <v>100</v>
      </c>
      <c r="F108" s="138">
        <f t="shared" si="141"/>
        <v>100</v>
      </c>
      <c r="G108" s="138">
        <f t="shared" si="141"/>
        <v>100</v>
      </c>
      <c r="H108" s="138">
        <f t="shared" si="141"/>
        <v>100</v>
      </c>
      <c r="I108" s="138">
        <f t="shared" si="141"/>
        <v>100</v>
      </c>
      <c r="J108" s="138">
        <f t="shared" si="141"/>
        <v>100</v>
      </c>
      <c r="K108" s="138">
        <f t="shared" si="141"/>
        <v>100</v>
      </c>
      <c r="L108" s="138">
        <f t="shared" si="141"/>
        <v>100</v>
      </c>
      <c r="M108" s="138">
        <f t="shared" si="141"/>
        <v>100</v>
      </c>
      <c r="N108" s="138">
        <f t="shared" si="141"/>
        <v>100</v>
      </c>
      <c r="O108" s="138">
        <f t="shared" si="141"/>
        <v>100</v>
      </c>
      <c r="P108" s="138">
        <f t="shared" si="141"/>
        <v>100</v>
      </c>
      <c r="Q108" s="138">
        <f t="shared" si="141"/>
        <v>100</v>
      </c>
      <c r="R108" s="138">
        <f t="shared" si="141"/>
        <v>100</v>
      </c>
      <c r="S108" s="138">
        <f t="shared" si="141"/>
        <v>100</v>
      </c>
      <c r="T108" s="138">
        <f t="shared" si="141"/>
        <v>100</v>
      </c>
      <c r="U108" s="138">
        <f t="shared" si="141"/>
        <v>100</v>
      </c>
      <c r="V108" s="138">
        <f t="shared" si="141"/>
        <v>100</v>
      </c>
      <c r="W108" s="138">
        <f t="shared" si="141"/>
        <v>100</v>
      </c>
      <c r="X108" s="138">
        <f t="shared" si="141"/>
        <v>100</v>
      </c>
      <c r="Y108" s="138">
        <f t="shared" si="141"/>
        <v>100</v>
      </c>
      <c r="Z108" s="138">
        <f t="shared" si="141"/>
        <v>100</v>
      </c>
      <c r="AA108" s="138">
        <f t="shared" si="141"/>
        <v>100</v>
      </c>
      <c r="AB108" s="138">
        <f t="shared" si="141"/>
        <v>100</v>
      </c>
      <c r="AC108" s="138">
        <f t="shared" si="141"/>
        <v>100</v>
      </c>
      <c r="AD108" s="138">
        <f t="shared" si="141"/>
        <v>100</v>
      </c>
      <c r="AE108" s="138">
        <f t="shared" si="141"/>
        <v>100</v>
      </c>
      <c r="AF108" s="138">
        <f t="shared" si="141"/>
        <v>100</v>
      </c>
      <c r="AG108" s="138">
        <f t="shared" si="141"/>
        <v>100</v>
      </c>
      <c r="AH108" s="138">
        <f t="shared" si="141"/>
        <v>100</v>
      </c>
      <c r="AI108" s="138">
        <f t="shared" si="141"/>
        <v>100</v>
      </c>
      <c r="AJ108" s="138">
        <f t="shared" si="141"/>
        <v>100</v>
      </c>
      <c r="AK108" s="138">
        <f t="shared" si="141"/>
        <v>100</v>
      </c>
      <c r="AL108" s="138">
        <f t="shared" si="141"/>
        <v>100</v>
      </c>
      <c r="AM108" s="138">
        <f t="shared" si="141"/>
        <v>100</v>
      </c>
      <c r="AN108" s="138">
        <f t="shared" si="141"/>
        <v>100</v>
      </c>
      <c r="AO108" s="138">
        <f t="shared" si="141"/>
        <v>100</v>
      </c>
      <c r="AP108" s="138">
        <f t="shared" si="141"/>
        <v>100</v>
      </c>
      <c r="AQ108" s="138">
        <f t="shared" si="141"/>
        <v>100</v>
      </c>
      <c r="AR108" s="138">
        <f t="shared" si="141"/>
        <v>100</v>
      </c>
      <c r="AS108" s="138">
        <f t="shared" si="141"/>
        <v>100</v>
      </c>
      <c r="AT108" s="138">
        <f t="shared" si="141"/>
        <v>100</v>
      </c>
      <c r="AU108" s="138">
        <f t="shared" si="141"/>
        <v>100</v>
      </c>
      <c r="AV108" s="138">
        <f t="shared" si="141"/>
        <v>100</v>
      </c>
      <c r="AW108" s="138">
        <f t="shared" si="141"/>
        <v>100</v>
      </c>
      <c r="AX108" s="138">
        <f t="shared" si="141"/>
        <v>100</v>
      </c>
      <c r="AY108" s="138">
        <f t="shared" si="141"/>
        <v>100</v>
      </c>
    </row>
    <row r="109" spans="1:51" s="139" customFormat="1" ht="13" x14ac:dyDescent="0.3">
      <c r="A109" s="136" t="s">
        <v>24</v>
      </c>
      <c r="B109" s="136" t="s">
        <v>44</v>
      </c>
      <c r="C109" s="137">
        <f t="shared" si="140"/>
        <v>2400</v>
      </c>
      <c r="D109" s="138">
        <v>50</v>
      </c>
      <c r="E109" s="138">
        <f t="shared" si="142"/>
        <v>50</v>
      </c>
      <c r="F109" s="138">
        <f t="shared" si="141"/>
        <v>50</v>
      </c>
      <c r="G109" s="138">
        <f t="shared" si="141"/>
        <v>50</v>
      </c>
      <c r="H109" s="138">
        <f t="shared" si="141"/>
        <v>50</v>
      </c>
      <c r="I109" s="138">
        <f t="shared" si="141"/>
        <v>50</v>
      </c>
      <c r="J109" s="138">
        <f t="shared" si="141"/>
        <v>50</v>
      </c>
      <c r="K109" s="138">
        <f t="shared" si="141"/>
        <v>50</v>
      </c>
      <c r="L109" s="138">
        <f t="shared" si="141"/>
        <v>50</v>
      </c>
      <c r="M109" s="138">
        <f t="shared" si="141"/>
        <v>50</v>
      </c>
      <c r="N109" s="138">
        <f t="shared" si="141"/>
        <v>50</v>
      </c>
      <c r="O109" s="138">
        <f t="shared" si="141"/>
        <v>50</v>
      </c>
      <c r="P109" s="138">
        <f t="shared" si="141"/>
        <v>50</v>
      </c>
      <c r="Q109" s="138">
        <f t="shared" si="141"/>
        <v>50</v>
      </c>
      <c r="R109" s="138">
        <f t="shared" si="141"/>
        <v>50</v>
      </c>
      <c r="S109" s="138">
        <f t="shared" si="141"/>
        <v>50</v>
      </c>
      <c r="T109" s="138">
        <f t="shared" si="141"/>
        <v>50</v>
      </c>
      <c r="U109" s="138">
        <f t="shared" si="141"/>
        <v>50</v>
      </c>
      <c r="V109" s="138">
        <f t="shared" si="141"/>
        <v>50</v>
      </c>
      <c r="W109" s="138">
        <f t="shared" si="141"/>
        <v>50</v>
      </c>
      <c r="X109" s="138">
        <f t="shared" si="141"/>
        <v>50</v>
      </c>
      <c r="Y109" s="138">
        <f t="shared" si="141"/>
        <v>50</v>
      </c>
      <c r="Z109" s="138">
        <f t="shared" si="141"/>
        <v>50</v>
      </c>
      <c r="AA109" s="138">
        <f t="shared" si="141"/>
        <v>50</v>
      </c>
      <c r="AB109" s="138">
        <f t="shared" si="141"/>
        <v>50</v>
      </c>
      <c r="AC109" s="138">
        <f t="shared" si="141"/>
        <v>50</v>
      </c>
      <c r="AD109" s="138">
        <f t="shared" si="141"/>
        <v>50</v>
      </c>
      <c r="AE109" s="138">
        <f t="shared" ref="AE109:AY109" si="143">AD109</f>
        <v>50</v>
      </c>
      <c r="AF109" s="138">
        <f t="shared" si="143"/>
        <v>50</v>
      </c>
      <c r="AG109" s="138">
        <f t="shared" si="143"/>
        <v>50</v>
      </c>
      <c r="AH109" s="138">
        <f t="shared" si="143"/>
        <v>50</v>
      </c>
      <c r="AI109" s="138">
        <f t="shared" si="143"/>
        <v>50</v>
      </c>
      <c r="AJ109" s="138">
        <f t="shared" si="143"/>
        <v>50</v>
      </c>
      <c r="AK109" s="138">
        <f t="shared" si="143"/>
        <v>50</v>
      </c>
      <c r="AL109" s="138">
        <f t="shared" si="143"/>
        <v>50</v>
      </c>
      <c r="AM109" s="138">
        <f t="shared" si="143"/>
        <v>50</v>
      </c>
      <c r="AN109" s="138">
        <f t="shared" si="143"/>
        <v>50</v>
      </c>
      <c r="AO109" s="138">
        <f t="shared" si="143"/>
        <v>50</v>
      </c>
      <c r="AP109" s="138">
        <f t="shared" si="143"/>
        <v>50</v>
      </c>
      <c r="AQ109" s="138">
        <f t="shared" si="143"/>
        <v>50</v>
      </c>
      <c r="AR109" s="138">
        <f t="shared" si="143"/>
        <v>50</v>
      </c>
      <c r="AS109" s="138">
        <f t="shared" si="143"/>
        <v>50</v>
      </c>
      <c r="AT109" s="138">
        <f t="shared" si="143"/>
        <v>50</v>
      </c>
      <c r="AU109" s="138">
        <f t="shared" si="143"/>
        <v>50</v>
      </c>
      <c r="AV109" s="138">
        <f t="shared" si="143"/>
        <v>50</v>
      </c>
      <c r="AW109" s="138">
        <f t="shared" si="143"/>
        <v>50</v>
      </c>
      <c r="AX109" s="138">
        <f t="shared" si="143"/>
        <v>50</v>
      </c>
      <c r="AY109" s="138">
        <f t="shared" si="143"/>
        <v>50</v>
      </c>
    </row>
    <row r="110" spans="1:51" s="14" customFormat="1" ht="13" x14ac:dyDescent="0.3">
      <c r="A110" s="54" t="s">
        <v>62</v>
      </c>
      <c r="B110" s="55" t="s">
        <v>44</v>
      </c>
      <c r="C110" s="42">
        <f t="shared" si="140"/>
        <v>58080</v>
      </c>
      <c r="D110" s="56">
        <f t="shared" ref="D110" si="144">SUM(D104:D109)</f>
        <v>1210</v>
      </c>
      <c r="E110" s="56">
        <f t="shared" ref="E110" si="145">SUM(E104:E109)</f>
        <v>1210</v>
      </c>
      <c r="F110" s="56">
        <f t="shared" ref="F110" si="146">SUM(F104:F109)</f>
        <v>1210</v>
      </c>
      <c r="G110" s="56">
        <f t="shared" ref="G110" si="147">SUM(G104:G109)</f>
        <v>1210</v>
      </c>
      <c r="H110" s="56">
        <f t="shared" ref="H110" si="148">SUM(H104:H109)</f>
        <v>1210</v>
      </c>
      <c r="I110" s="56">
        <f t="shared" ref="I110" si="149">SUM(I104:I109)</f>
        <v>1210</v>
      </c>
      <c r="J110" s="56">
        <f t="shared" ref="J110" si="150">SUM(J104:J109)</f>
        <v>1210</v>
      </c>
      <c r="K110" s="56">
        <f t="shared" ref="K110" si="151">SUM(K104:K109)</f>
        <v>1210</v>
      </c>
      <c r="L110" s="56">
        <f t="shared" ref="L110" si="152">SUM(L104:L109)</f>
        <v>1210</v>
      </c>
      <c r="M110" s="56">
        <f t="shared" ref="M110" si="153">SUM(M104:M109)</f>
        <v>1210</v>
      </c>
      <c r="N110" s="56">
        <f t="shared" ref="N110" si="154">SUM(N104:N109)</f>
        <v>1210</v>
      </c>
      <c r="O110" s="56">
        <f t="shared" ref="O110" si="155">SUM(O104:O109)</f>
        <v>1210</v>
      </c>
      <c r="P110" s="56">
        <f t="shared" ref="P110" si="156">SUM(P104:P109)</f>
        <v>1210</v>
      </c>
      <c r="Q110" s="56">
        <f t="shared" ref="Q110" si="157">SUM(Q104:Q109)</f>
        <v>1210</v>
      </c>
      <c r="R110" s="56">
        <f t="shared" ref="R110" si="158">SUM(R104:R109)</f>
        <v>1210</v>
      </c>
      <c r="S110" s="56">
        <f t="shared" ref="S110" si="159">SUM(S104:S109)</f>
        <v>1210</v>
      </c>
      <c r="T110" s="56">
        <f t="shared" ref="T110" si="160">SUM(T104:T109)</f>
        <v>1210</v>
      </c>
      <c r="U110" s="56">
        <f t="shared" ref="U110" si="161">SUM(U104:U109)</f>
        <v>1210</v>
      </c>
      <c r="V110" s="56">
        <f t="shared" ref="V110" si="162">SUM(V104:V109)</f>
        <v>1210</v>
      </c>
      <c r="W110" s="56">
        <f t="shared" ref="W110" si="163">SUM(W104:W109)</f>
        <v>1210</v>
      </c>
      <c r="X110" s="56">
        <f t="shared" ref="X110" si="164">SUM(X104:X109)</f>
        <v>1210</v>
      </c>
      <c r="Y110" s="56">
        <f t="shared" ref="Y110" si="165">SUM(Y104:Y109)</f>
        <v>1210</v>
      </c>
      <c r="Z110" s="56">
        <f t="shared" ref="Z110" si="166">SUM(Z104:Z109)</f>
        <v>1210</v>
      </c>
      <c r="AA110" s="56">
        <f t="shared" ref="AA110" si="167">SUM(AA104:AA109)</f>
        <v>1210</v>
      </c>
      <c r="AB110" s="56">
        <f t="shared" ref="AB110" si="168">SUM(AB104:AB109)</f>
        <v>1210</v>
      </c>
      <c r="AC110" s="56">
        <f t="shared" ref="AC110" si="169">SUM(AC104:AC109)</f>
        <v>1210</v>
      </c>
      <c r="AD110" s="56">
        <f t="shared" ref="AD110" si="170">SUM(AD104:AD109)</f>
        <v>1210</v>
      </c>
      <c r="AE110" s="56">
        <f t="shared" ref="AE110" si="171">SUM(AE104:AE109)</f>
        <v>1210</v>
      </c>
      <c r="AF110" s="56">
        <f t="shared" ref="AF110" si="172">SUM(AF104:AF109)</f>
        <v>1210</v>
      </c>
      <c r="AG110" s="56">
        <f t="shared" ref="AG110" si="173">SUM(AG104:AG109)</f>
        <v>1210</v>
      </c>
      <c r="AH110" s="56">
        <f t="shared" ref="AH110" si="174">SUM(AH104:AH109)</f>
        <v>1210</v>
      </c>
      <c r="AI110" s="56">
        <f t="shared" ref="AI110" si="175">SUM(AI104:AI109)</f>
        <v>1210</v>
      </c>
      <c r="AJ110" s="56">
        <f t="shared" ref="AJ110" si="176">SUM(AJ104:AJ109)</f>
        <v>1210</v>
      </c>
      <c r="AK110" s="56">
        <f t="shared" ref="AK110" si="177">SUM(AK104:AK109)</f>
        <v>1210</v>
      </c>
      <c r="AL110" s="56">
        <f t="shared" ref="AL110" si="178">SUM(AL104:AL109)</f>
        <v>1210</v>
      </c>
      <c r="AM110" s="56">
        <f t="shared" ref="AM110" si="179">SUM(AM104:AM109)</f>
        <v>1210</v>
      </c>
      <c r="AN110" s="56">
        <f t="shared" ref="AN110" si="180">SUM(AN104:AN109)</f>
        <v>1210</v>
      </c>
      <c r="AO110" s="56">
        <f t="shared" ref="AO110" si="181">SUM(AO104:AO109)</f>
        <v>1210</v>
      </c>
      <c r="AP110" s="56">
        <f t="shared" ref="AP110" si="182">SUM(AP104:AP109)</f>
        <v>1210</v>
      </c>
      <c r="AQ110" s="56">
        <f t="shared" ref="AQ110" si="183">SUM(AQ104:AQ109)</f>
        <v>1210</v>
      </c>
      <c r="AR110" s="56">
        <f t="shared" ref="AR110" si="184">SUM(AR104:AR109)</f>
        <v>1210</v>
      </c>
      <c r="AS110" s="56">
        <f t="shared" ref="AS110" si="185">SUM(AS104:AS109)</f>
        <v>1210</v>
      </c>
      <c r="AT110" s="56">
        <f t="shared" ref="AT110" si="186">SUM(AT104:AT109)</f>
        <v>1210</v>
      </c>
      <c r="AU110" s="56">
        <f t="shared" ref="AU110" si="187">SUM(AU104:AU109)</f>
        <v>1210</v>
      </c>
      <c r="AV110" s="56">
        <f t="shared" ref="AV110" si="188">SUM(AV104:AV109)</f>
        <v>1210</v>
      </c>
      <c r="AW110" s="56">
        <f t="shared" ref="AW110" si="189">SUM(AW104:AW109)</f>
        <v>1210</v>
      </c>
      <c r="AX110" s="56">
        <f t="shared" ref="AX110" si="190">SUM(AX104:AX109)</f>
        <v>1210</v>
      </c>
      <c r="AY110" s="56">
        <f t="shared" ref="AY110" si="191">SUM(AY104:AY109)</f>
        <v>1210</v>
      </c>
    </row>
    <row r="111" spans="1:51" s="45" customFormat="1" ht="13" x14ac:dyDescent="0.3">
      <c r="B111" s="7"/>
      <c r="C111" s="46"/>
      <c r="D111" s="58"/>
      <c r="E111" s="58"/>
      <c r="F111" s="58"/>
      <c r="G111" s="58"/>
      <c r="H111" s="58"/>
      <c r="I111" s="58"/>
      <c r="J111" s="58"/>
    </row>
    <row r="112" spans="1:51" s="7" customFormat="1" ht="13" x14ac:dyDescent="0.3">
      <c r="A112" s="41" t="s">
        <v>127</v>
      </c>
      <c r="C112" s="9"/>
      <c r="D112" s="9"/>
      <c r="E112" s="9"/>
      <c r="F112" s="9"/>
      <c r="G112" s="9"/>
      <c r="H112" s="9"/>
      <c r="I112" s="9"/>
      <c r="J112" s="9"/>
    </row>
    <row r="113" spans="1:51" s="7" customFormat="1" ht="13" x14ac:dyDescent="0.3">
      <c r="A113" s="14" t="s">
        <v>187</v>
      </c>
      <c r="C113" s="9"/>
      <c r="D113" s="9"/>
      <c r="E113" s="9"/>
      <c r="F113" s="9"/>
      <c r="G113" s="9"/>
      <c r="H113" s="9"/>
      <c r="I113" s="9"/>
      <c r="J113" s="9"/>
    </row>
    <row r="114" spans="1:51" s="139" customFormat="1" ht="13" x14ac:dyDescent="0.3">
      <c r="A114" s="136" t="s">
        <v>111</v>
      </c>
      <c r="B114" s="136" t="s">
        <v>44</v>
      </c>
      <c r="C114" s="137">
        <f>SUM(D114:AY114)</f>
        <v>240000</v>
      </c>
      <c r="D114" s="138">
        <v>5000</v>
      </c>
      <c r="E114" s="138">
        <f>D114</f>
        <v>5000</v>
      </c>
      <c r="F114" s="138">
        <f t="shared" ref="F114:AY114" si="192">E114</f>
        <v>5000</v>
      </c>
      <c r="G114" s="138">
        <f t="shared" si="192"/>
        <v>5000</v>
      </c>
      <c r="H114" s="138">
        <f t="shared" si="192"/>
        <v>5000</v>
      </c>
      <c r="I114" s="138">
        <f t="shared" si="192"/>
        <v>5000</v>
      </c>
      <c r="J114" s="138">
        <f t="shared" si="192"/>
        <v>5000</v>
      </c>
      <c r="K114" s="138">
        <f t="shared" si="192"/>
        <v>5000</v>
      </c>
      <c r="L114" s="138">
        <f t="shared" si="192"/>
        <v>5000</v>
      </c>
      <c r="M114" s="138">
        <f t="shared" si="192"/>
        <v>5000</v>
      </c>
      <c r="N114" s="138">
        <f t="shared" si="192"/>
        <v>5000</v>
      </c>
      <c r="O114" s="138">
        <f t="shared" si="192"/>
        <v>5000</v>
      </c>
      <c r="P114" s="138">
        <f t="shared" si="192"/>
        <v>5000</v>
      </c>
      <c r="Q114" s="138">
        <f t="shared" si="192"/>
        <v>5000</v>
      </c>
      <c r="R114" s="138">
        <f t="shared" si="192"/>
        <v>5000</v>
      </c>
      <c r="S114" s="138">
        <f t="shared" si="192"/>
        <v>5000</v>
      </c>
      <c r="T114" s="138">
        <f t="shared" si="192"/>
        <v>5000</v>
      </c>
      <c r="U114" s="138">
        <f t="shared" si="192"/>
        <v>5000</v>
      </c>
      <c r="V114" s="138">
        <f t="shared" si="192"/>
        <v>5000</v>
      </c>
      <c r="W114" s="138">
        <f t="shared" si="192"/>
        <v>5000</v>
      </c>
      <c r="X114" s="138">
        <f t="shared" si="192"/>
        <v>5000</v>
      </c>
      <c r="Y114" s="138">
        <f t="shared" si="192"/>
        <v>5000</v>
      </c>
      <c r="Z114" s="138">
        <f t="shared" si="192"/>
        <v>5000</v>
      </c>
      <c r="AA114" s="138">
        <f t="shared" si="192"/>
        <v>5000</v>
      </c>
      <c r="AB114" s="138">
        <f t="shared" si="192"/>
        <v>5000</v>
      </c>
      <c r="AC114" s="138">
        <f t="shared" si="192"/>
        <v>5000</v>
      </c>
      <c r="AD114" s="138">
        <f t="shared" si="192"/>
        <v>5000</v>
      </c>
      <c r="AE114" s="138">
        <f t="shared" si="192"/>
        <v>5000</v>
      </c>
      <c r="AF114" s="138">
        <f t="shared" si="192"/>
        <v>5000</v>
      </c>
      <c r="AG114" s="138">
        <f t="shared" si="192"/>
        <v>5000</v>
      </c>
      <c r="AH114" s="138">
        <f t="shared" si="192"/>
        <v>5000</v>
      </c>
      <c r="AI114" s="138">
        <f t="shared" si="192"/>
        <v>5000</v>
      </c>
      <c r="AJ114" s="138">
        <f t="shared" si="192"/>
        <v>5000</v>
      </c>
      <c r="AK114" s="138">
        <f t="shared" si="192"/>
        <v>5000</v>
      </c>
      <c r="AL114" s="138">
        <f t="shared" si="192"/>
        <v>5000</v>
      </c>
      <c r="AM114" s="138">
        <f t="shared" si="192"/>
        <v>5000</v>
      </c>
      <c r="AN114" s="138">
        <f t="shared" si="192"/>
        <v>5000</v>
      </c>
      <c r="AO114" s="138">
        <f t="shared" si="192"/>
        <v>5000</v>
      </c>
      <c r="AP114" s="138">
        <f t="shared" si="192"/>
        <v>5000</v>
      </c>
      <c r="AQ114" s="138">
        <f t="shared" si="192"/>
        <v>5000</v>
      </c>
      <c r="AR114" s="138">
        <f t="shared" si="192"/>
        <v>5000</v>
      </c>
      <c r="AS114" s="138">
        <f t="shared" si="192"/>
        <v>5000</v>
      </c>
      <c r="AT114" s="138">
        <f t="shared" si="192"/>
        <v>5000</v>
      </c>
      <c r="AU114" s="138">
        <f t="shared" si="192"/>
        <v>5000</v>
      </c>
      <c r="AV114" s="138">
        <f t="shared" si="192"/>
        <v>5000</v>
      </c>
      <c r="AW114" s="138">
        <f t="shared" si="192"/>
        <v>5000</v>
      </c>
      <c r="AX114" s="138">
        <f t="shared" si="192"/>
        <v>5000</v>
      </c>
      <c r="AY114" s="138">
        <f t="shared" si="192"/>
        <v>5000</v>
      </c>
    </row>
    <row r="115" spans="1:51" s="14" customFormat="1" ht="13.5" thickBot="1" x14ac:dyDescent="0.35">
      <c r="A115" s="55" t="str">
        <f>A112</f>
        <v>3d.  working capital needed</v>
      </c>
      <c r="B115" s="55" t="s">
        <v>44</v>
      </c>
      <c r="C115" s="46">
        <f>SUM(D115:AY115)</f>
        <v>210000</v>
      </c>
      <c r="D115" s="74">
        <f>IF(E69=0,0,D114)</f>
        <v>0</v>
      </c>
      <c r="E115" s="74">
        <f>IF(F69=0,0,E114)</f>
        <v>0</v>
      </c>
      <c r="F115" s="74">
        <f>IF(G69=0,0,F114)</f>
        <v>0</v>
      </c>
      <c r="G115" s="74">
        <f>IF(H69=0,0,G114)</f>
        <v>0</v>
      </c>
      <c r="H115" s="74">
        <f>IF(I69=0,0,H114)</f>
        <v>0</v>
      </c>
      <c r="I115" s="74">
        <f>IF(J69=0,0,I114)</f>
        <v>5000</v>
      </c>
      <c r="J115" s="74">
        <f>IF(K69=0,0,J114)</f>
        <v>5000</v>
      </c>
      <c r="K115" s="74">
        <f>IF(L69=0,0,K114)</f>
        <v>5000</v>
      </c>
      <c r="L115" s="74">
        <f>IF(M69=0,0,L114)</f>
        <v>5000</v>
      </c>
      <c r="M115" s="74">
        <f>IF(N69=0,0,M114)</f>
        <v>5000</v>
      </c>
      <c r="N115" s="74">
        <f>IF(O69=0,0,N114)</f>
        <v>5000</v>
      </c>
      <c r="O115" s="74">
        <f>IF(P69=0,0,O114)</f>
        <v>5000</v>
      </c>
      <c r="P115" s="74">
        <f>IF(Q69=0,0,P114)</f>
        <v>5000</v>
      </c>
      <c r="Q115" s="74">
        <f>IF(R69=0,0,Q114)</f>
        <v>5000</v>
      </c>
      <c r="R115" s="74">
        <f>IF(S69=0,0,R114)</f>
        <v>5000</v>
      </c>
      <c r="S115" s="74">
        <f>IF(T69=0,0,S114)</f>
        <v>5000</v>
      </c>
      <c r="T115" s="74">
        <f>IF(U69=0,0,T114)</f>
        <v>5000</v>
      </c>
      <c r="U115" s="74">
        <f>IF(V69=0,0,U114)</f>
        <v>5000</v>
      </c>
      <c r="V115" s="74">
        <f>IF(W69=0,0,V114)</f>
        <v>5000</v>
      </c>
      <c r="W115" s="74">
        <f>IF(X69=0,0,W114)</f>
        <v>5000</v>
      </c>
      <c r="X115" s="74">
        <f>IF(Y69=0,0,X114)</f>
        <v>5000</v>
      </c>
      <c r="Y115" s="74">
        <f>IF(Z69=0,0,Y114)</f>
        <v>5000</v>
      </c>
      <c r="Z115" s="74">
        <f>IF(AA69=0,0,Z114)</f>
        <v>5000</v>
      </c>
      <c r="AA115" s="74">
        <f>IF(AB69=0,0,AA114)</f>
        <v>5000</v>
      </c>
      <c r="AB115" s="74">
        <f>IF(AC69=0,0,AB114)</f>
        <v>5000</v>
      </c>
      <c r="AC115" s="74">
        <f>IF(AD69=0,0,AC114)</f>
        <v>5000</v>
      </c>
      <c r="AD115" s="74">
        <f>IF(AE69=0,0,AD114)</f>
        <v>5000</v>
      </c>
      <c r="AE115" s="74">
        <f>IF(AF69=0,0,AE114)</f>
        <v>5000</v>
      </c>
      <c r="AF115" s="74">
        <f>IF(AG69=0,0,AF114)</f>
        <v>5000</v>
      </c>
      <c r="AG115" s="74">
        <f>IF(AH69=0,0,AG114)</f>
        <v>5000</v>
      </c>
      <c r="AH115" s="74">
        <f>IF(AI69=0,0,AH114)</f>
        <v>5000</v>
      </c>
      <c r="AI115" s="74">
        <f>IF(AJ69=0,0,AI114)</f>
        <v>5000</v>
      </c>
      <c r="AJ115" s="74">
        <f>IF(AK69=0,0,AJ114)</f>
        <v>5000</v>
      </c>
      <c r="AK115" s="74">
        <f>IF(AL69=0,0,AK114)</f>
        <v>5000</v>
      </c>
      <c r="AL115" s="74">
        <f>IF(AM69=0,0,AL114)</f>
        <v>5000</v>
      </c>
      <c r="AM115" s="74">
        <f>IF(AN69=0,0,AM114)</f>
        <v>5000</v>
      </c>
      <c r="AN115" s="74">
        <f>IF(AO69=0,0,AN114)</f>
        <v>5000</v>
      </c>
      <c r="AO115" s="74">
        <f>IF(AP69=0,0,AO114)</f>
        <v>5000</v>
      </c>
      <c r="AP115" s="74">
        <f>IF(AQ69=0,0,AP114)</f>
        <v>5000</v>
      </c>
      <c r="AQ115" s="74">
        <f>IF(AR69=0,0,AQ114)</f>
        <v>5000</v>
      </c>
      <c r="AR115" s="74">
        <f>IF(AS69=0,0,AR114)</f>
        <v>5000</v>
      </c>
      <c r="AS115" s="74">
        <f>IF(AT69=0,0,AS114)</f>
        <v>5000</v>
      </c>
      <c r="AT115" s="74">
        <f>IF(AU69=0,0,AT114)</f>
        <v>5000</v>
      </c>
      <c r="AU115" s="74">
        <f>IF(AV69=0,0,AU114)</f>
        <v>5000</v>
      </c>
      <c r="AV115" s="74">
        <f>IF(AW69=0,0,AV114)</f>
        <v>5000</v>
      </c>
      <c r="AW115" s="74">
        <f>IF(AX69=0,0,AW114)</f>
        <v>5000</v>
      </c>
      <c r="AX115" s="74">
        <f>IF(AY69=0,0,AX114)</f>
        <v>5000</v>
      </c>
      <c r="AY115" s="74">
        <f>IF(AZ69=0,0,AY114)</f>
        <v>0</v>
      </c>
    </row>
    <row r="116" spans="1:51" s="14" customFormat="1" ht="13.5" thickBot="1" x14ac:dyDescent="0.35">
      <c r="A116" s="54" t="s">
        <v>112</v>
      </c>
      <c r="B116" s="55" t="s">
        <v>44</v>
      </c>
      <c r="C116" s="42">
        <f>SUM(D116:AY116)</f>
        <v>0</v>
      </c>
      <c r="D116" s="66">
        <f>D115</f>
        <v>0</v>
      </c>
      <c r="E116" s="75">
        <f>E115-D115</f>
        <v>0</v>
      </c>
      <c r="F116" s="75">
        <f t="shared" ref="F116:AY116" si="193">F115-E115</f>
        <v>0</v>
      </c>
      <c r="G116" s="75">
        <f t="shared" si="193"/>
        <v>0</v>
      </c>
      <c r="H116" s="75">
        <f t="shared" si="193"/>
        <v>0</v>
      </c>
      <c r="I116" s="75">
        <f t="shared" si="193"/>
        <v>5000</v>
      </c>
      <c r="J116" s="75">
        <f t="shared" si="193"/>
        <v>0</v>
      </c>
      <c r="K116" s="75">
        <f t="shared" si="193"/>
        <v>0</v>
      </c>
      <c r="L116" s="75">
        <f t="shared" si="193"/>
        <v>0</v>
      </c>
      <c r="M116" s="75">
        <f t="shared" si="193"/>
        <v>0</v>
      </c>
      <c r="N116" s="75">
        <f t="shared" si="193"/>
        <v>0</v>
      </c>
      <c r="O116" s="75">
        <f t="shared" si="193"/>
        <v>0</v>
      </c>
      <c r="P116" s="75">
        <f t="shared" si="193"/>
        <v>0</v>
      </c>
      <c r="Q116" s="75">
        <f t="shared" si="193"/>
        <v>0</v>
      </c>
      <c r="R116" s="75">
        <f t="shared" si="193"/>
        <v>0</v>
      </c>
      <c r="S116" s="75">
        <f t="shared" si="193"/>
        <v>0</v>
      </c>
      <c r="T116" s="75">
        <f t="shared" si="193"/>
        <v>0</v>
      </c>
      <c r="U116" s="75">
        <f t="shared" si="193"/>
        <v>0</v>
      </c>
      <c r="V116" s="75">
        <f t="shared" si="193"/>
        <v>0</v>
      </c>
      <c r="W116" s="75">
        <f t="shared" si="193"/>
        <v>0</v>
      </c>
      <c r="X116" s="75">
        <f t="shared" si="193"/>
        <v>0</v>
      </c>
      <c r="Y116" s="75">
        <f t="shared" si="193"/>
        <v>0</v>
      </c>
      <c r="Z116" s="75">
        <f t="shared" si="193"/>
        <v>0</v>
      </c>
      <c r="AA116" s="75">
        <f t="shared" si="193"/>
        <v>0</v>
      </c>
      <c r="AB116" s="75">
        <f t="shared" si="193"/>
        <v>0</v>
      </c>
      <c r="AC116" s="75">
        <f t="shared" si="193"/>
        <v>0</v>
      </c>
      <c r="AD116" s="75">
        <f t="shared" si="193"/>
        <v>0</v>
      </c>
      <c r="AE116" s="75">
        <f t="shared" si="193"/>
        <v>0</v>
      </c>
      <c r="AF116" s="75">
        <f t="shared" si="193"/>
        <v>0</v>
      </c>
      <c r="AG116" s="75">
        <f t="shared" si="193"/>
        <v>0</v>
      </c>
      <c r="AH116" s="75">
        <f t="shared" si="193"/>
        <v>0</v>
      </c>
      <c r="AI116" s="75">
        <f t="shared" si="193"/>
        <v>0</v>
      </c>
      <c r="AJ116" s="75">
        <f t="shared" si="193"/>
        <v>0</v>
      </c>
      <c r="AK116" s="75">
        <f t="shared" si="193"/>
        <v>0</v>
      </c>
      <c r="AL116" s="75">
        <f t="shared" si="193"/>
        <v>0</v>
      </c>
      <c r="AM116" s="75">
        <f t="shared" si="193"/>
        <v>0</v>
      </c>
      <c r="AN116" s="75">
        <f t="shared" si="193"/>
        <v>0</v>
      </c>
      <c r="AO116" s="75">
        <f t="shared" si="193"/>
        <v>0</v>
      </c>
      <c r="AP116" s="75">
        <f t="shared" si="193"/>
        <v>0</v>
      </c>
      <c r="AQ116" s="75">
        <f t="shared" si="193"/>
        <v>0</v>
      </c>
      <c r="AR116" s="75">
        <f t="shared" si="193"/>
        <v>0</v>
      </c>
      <c r="AS116" s="75">
        <f t="shared" si="193"/>
        <v>0</v>
      </c>
      <c r="AT116" s="75">
        <f t="shared" si="193"/>
        <v>0</v>
      </c>
      <c r="AU116" s="75">
        <f t="shared" si="193"/>
        <v>0</v>
      </c>
      <c r="AV116" s="75">
        <f t="shared" si="193"/>
        <v>0</v>
      </c>
      <c r="AW116" s="75">
        <f t="shared" si="193"/>
        <v>0</v>
      </c>
      <c r="AX116" s="75">
        <f t="shared" si="193"/>
        <v>0</v>
      </c>
      <c r="AY116" s="75">
        <f t="shared" si="193"/>
        <v>-5000</v>
      </c>
    </row>
    <row r="117" spans="1:51" s="45" customFormat="1" ht="13" x14ac:dyDescent="0.3">
      <c r="B117" s="7"/>
      <c r="C117" s="46"/>
      <c r="D117" s="58"/>
      <c r="E117" s="58"/>
      <c r="F117" s="58"/>
      <c r="G117" s="58"/>
      <c r="H117" s="58"/>
      <c r="I117" s="58"/>
      <c r="J117" s="58"/>
    </row>
    <row r="118" spans="1:51" s="7" customFormat="1" ht="13" x14ac:dyDescent="0.3">
      <c r="A118" s="47" t="s">
        <v>9</v>
      </c>
      <c r="B118" s="7" t="s">
        <v>44</v>
      </c>
      <c r="C118" s="48">
        <f>SUM(D118:AY118)</f>
        <v>258764.24697910249</v>
      </c>
      <c r="D118" s="49">
        <f>D100+D110+D116</f>
        <v>1210</v>
      </c>
      <c r="E118" s="49">
        <f>E100+E110+E116</f>
        <v>1210</v>
      </c>
      <c r="F118" s="49">
        <f>F100+F110+F116</f>
        <v>1210</v>
      </c>
      <c r="G118" s="49">
        <f>G100+G110+G116</f>
        <v>1210</v>
      </c>
      <c r="H118" s="49">
        <f>H100+H110+H116</f>
        <v>1210</v>
      </c>
      <c r="I118" s="49">
        <f>I100+I110+I116</f>
        <v>6210</v>
      </c>
      <c r="J118" s="49">
        <f>J100+J110+J116</f>
        <v>5123</v>
      </c>
      <c r="K118" s="49">
        <f>K100+K110+K116</f>
        <v>5162.13</v>
      </c>
      <c r="L118" s="49">
        <f>L100+L110+L116</f>
        <v>5201.6512999999995</v>
      </c>
      <c r="M118" s="49">
        <f>M100+M110+M116</f>
        <v>5241.5678130000006</v>
      </c>
      <c r="N118" s="49">
        <f>N100+N110+N116</f>
        <v>5281.88349113</v>
      </c>
      <c r="O118" s="49">
        <f>O100+O110+O116</f>
        <v>5322.6023260413003</v>
      </c>
      <c r="P118" s="49">
        <f>P100+P110+P116</f>
        <v>5363.728349301713</v>
      </c>
      <c r="Q118" s="49">
        <f>Q100+Q110+Q116</f>
        <v>5405.2656327947298</v>
      </c>
      <c r="R118" s="49">
        <f>R100+R110+R116</f>
        <v>5447.2182891226776</v>
      </c>
      <c r="S118" s="49">
        <f>S100+S110+S116</f>
        <v>5489.5904720139042</v>
      </c>
      <c r="T118" s="49">
        <f>T100+T110+T116</f>
        <v>5532.3863767340426</v>
      </c>
      <c r="U118" s="49">
        <f>U100+U110+U116</f>
        <v>5575.6102405013835</v>
      </c>
      <c r="V118" s="49">
        <f>V100+V110+V116</f>
        <v>5619.2663429063969</v>
      </c>
      <c r="W118" s="49">
        <f>W100+W110+W116</f>
        <v>5663.3590063354613</v>
      </c>
      <c r="X118" s="49">
        <f>X100+X110+X116</f>
        <v>5707.8925963988158</v>
      </c>
      <c r="Y118" s="49">
        <f>Y100+Y110+Y116</f>
        <v>5752.8715223628051</v>
      </c>
      <c r="Z118" s="49">
        <f>Z100+Z110+Z116</f>
        <v>5798.3002375864326</v>
      </c>
      <c r="AA118" s="49">
        <f>AA100+AA110+AA116</f>
        <v>5844.1832399622972</v>
      </c>
      <c r="AB118" s="49">
        <f>AB100+AB110+AB116</f>
        <v>5890.5250723619201</v>
      </c>
      <c r="AC118" s="49">
        <f>AC100+AC110+AC116</f>
        <v>5937.3303230855399</v>
      </c>
      <c r="AD118" s="49">
        <f>AD100+AD110+AD116</f>
        <v>5984.6036263163951</v>
      </c>
      <c r="AE118" s="49">
        <f>AE100+AE110+AE116</f>
        <v>6032.3496625795597</v>
      </c>
      <c r="AF118" s="49">
        <f>AF100+AF110+AF116</f>
        <v>6080.5731592053544</v>
      </c>
      <c r="AG118" s="49">
        <f>AG100+AG110+AG116</f>
        <v>6129.2788907974082</v>
      </c>
      <c r="AH118" s="49">
        <f>AH100+AH110+AH116</f>
        <v>6178.4716797053825</v>
      </c>
      <c r="AI118" s="49">
        <f>AI100+AI110+AI116</f>
        <v>6228.1563965024361</v>
      </c>
      <c r="AJ118" s="49">
        <f>AJ100+AJ110+AJ116</f>
        <v>6278.3379604674601</v>
      </c>
      <c r="AK118" s="49">
        <f>AK100+AK110+AK116</f>
        <v>6329.021340072135</v>
      </c>
      <c r="AL118" s="49">
        <f>AL100+AL110+AL116</f>
        <v>6380.2115534728555</v>
      </c>
      <c r="AM118" s="49">
        <f>AM100+AM110+AM116</f>
        <v>6431.9136690075848</v>
      </c>
      <c r="AN118" s="49">
        <f>AN100+AN110+AN116</f>
        <v>6484.1328056976608</v>
      </c>
      <c r="AO118" s="49">
        <f>AO100+AO110+AO116</f>
        <v>6536.874133754638</v>
      </c>
      <c r="AP118" s="49">
        <f>AP100+AP110+AP116</f>
        <v>6590.142875092185</v>
      </c>
      <c r="AQ118" s="49">
        <f>AQ100+AQ110+AQ116</f>
        <v>6643.9443038431064</v>
      </c>
      <c r="AR118" s="49">
        <f>AR100+AR110+AR116</f>
        <v>6698.2837468815378</v>
      </c>
      <c r="AS118" s="49">
        <f>AS100+AS110+AS116</f>
        <v>6753.1665843503524</v>
      </c>
      <c r="AT118" s="49">
        <f>AT100+AT110+AT116</f>
        <v>6808.5982501938561</v>
      </c>
      <c r="AU118" s="49">
        <f>AU100+AU110+AU116</f>
        <v>6864.5842326957954</v>
      </c>
      <c r="AV118" s="49">
        <f>AV100+AV110+AV116</f>
        <v>6902.1562209529102</v>
      </c>
      <c r="AW118" s="49">
        <f>AW100+AW110+AW116</f>
        <v>6902.1562209529102</v>
      </c>
      <c r="AX118" s="49">
        <f>AX100+AX110+AX116</f>
        <v>6902.1562209529102</v>
      </c>
      <c r="AY118" s="49">
        <f>AY100+AY110+AY116</f>
        <v>4.7708139686073991</v>
      </c>
    </row>
    <row r="119" spans="1:51" s="7" customFormat="1" ht="13" x14ac:dyDescent="0.3">
      <c r="A119" s="59"/>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c r="AU119" s="60"/>
      <c r="AV119" s="60"/>
      <c r="AW119" s="60"/>
      <c r="AX119" s="60"/>
      <c r="AY119" s="60"/>
    </row>
    <row r="120" spans="1:51" s="38" customFormat="1" ht="33.75" customHeight="1" x14ac:dyDescent="0.35">
      <c r="A120" s="121" t="s">
        <v>10</v>
      </c>
      <c r="C120" s="133"/>
      <c r="D120" s="133"/>
      <c r="E120" s="133"/>
      <c r="F120" s="133"/>
      <c r="G120" s="133"/>
      <c r="H120" s="133"/>
      <c r="I120" s="133"/>
      <c r="J120" s="133"/>
    </row>
    <row r="121" spans="1:51" s="36" customFormat="1" ht="14.25" customHeight="1" x14ac:dyDescent="0.3">
      <c r="A121" s="36" t="str">
        <f t="shared" ref="A121:AF121" si="194">A$60</f>
        <v>Months --&gt;</v>
      </c>
      <c r="B121" s="36" t="str">
        <f t="shared" si="194"/>
        <v>units</v>
      </c>
      <c r="C121" s="36" t="str">
        <f t="shared" si="194"/>
        <v>Total</v>
      </c>
      <c r="D121" s="51">
        <f t="shared" si="194"/>
        <v>46113</v>
      </c>
      <c r="E121" s="51">
        <f t="shared" si="194"/>
        <v>46144</v>
      </c>
      <c r="F121" s="51">
        <f t="shared" si="194"/>
        <v>46175</v>
      </c>
      <c r="G121" s="51">
        <f t="shared" si="194"/>
        <v>46206</v>
      </c>
      <c r="H121" s="51">
        <f t="shared" si="194"/>
        <v>46237</v>
      </c>
      <c r="I121" s="51">
        <f t="shared" si="194"/>
        <v>46268</v>
      </c>
      <c r="J121" s="51">
        <f t="shared" si="194"/>
        <v>46299</v>
      </c>
      <c r="K121" s="51">
        <f t="shared" si="194"/>
        <v>46330</v>
      </c>
      <c r="L121" s="51">
        <f t="shared" si="194"/>
        <v>46361</v>
      </c>
      <c r="M121" s="51">
        <f t="shared" si="194"/>
        <v>46392</v>
      </c>
      <c r="N121" s="51">
        <f t="shared" si="194"/>
        <v>46423</v>
      </c>
      <c r="O121" s="51">
        <f t="shared" si="194"/>
        <v>46454</v>
      </c>
      <c r="P121" s="51">
        <f t="shared" si="194"/>
        <v>46485</v>
      </c>
      <c r="Q121" s="51">
        <f t="shared" si="194"/>
        <v>46516</v>
      </c>
      <c r="R121" s="51">
        <f t="shared" si="194"/>
        <v>46547</v>
      </c>
      <c r="S121" s="51">
        <f t="shared" si="194"/>
        <v>46578</v>
      </c>
      <c r="T121" s="51">
        <f t="shared" si="194"/>
        <v>46609</v>
      </c>
      <c r="U121" s="51">
        <f t="shared" si="194"/>
        <v>46640</v>
      </c>
      <c r="V121" s="51">
        <f t="shared" si="194"/>
        <v>46671</v>
      </c>
      <c r="W121" s="51">
        <f t="shared" si="194"/>
        <v>46702</v>
      </c>
      <c r="X121" s="51">
        <f t="shared" si="194"/>
        <v>46733</v>
      </c>
      <c r="Y121" s="51">
        <f t="shared" si="194"/>
        <v>46764</v>
      </c>
      <c r="Z121" s="51">
        <f t="shared" si="194"/>
        <v>46795</v>
      </c>
      <c r="AA121" s="51">
        <f t="shared" si="194"/>
        <v>46826</v>
      </c>
      <c r="AB121" s="51">
        <f t="shared" si="194"/>
        <v>46857</v>
      </c>
      <c r="AC121" s="51">
        <f t="shared" si="194"/>
        <v>46888</v>
      </c>
      <c r="AD121" s="51">
        <f t="shared" si="194"/>
        <v>46919</v>
      </c>
      <c r="AE121" s="51">
        <f t="shared" si="194"/>
        <v>46950</v>
      </c>
      <c r="AF121" s="51">
        <f t="shared" si="194"/>
        <v>46981</v>
      </c>
      <c r="AG121" s="51">
        <f t="shared" ref="AG121:AY121" si="195">AG$60</f>
        <v>47012</v>
      </c>
      <c r="AH121" s="51">
        <f t="shared" si="195"/>
        <v>47043</v>
      </c>
      <c r="AI121" s="51">
        <f t="shared" si="195"/>
        <v>47074</v>
      </c>
      <c r="AJ121" s="51">
        <f t="shared" si="195"/>
        <v>47105</v>
      </c>
      <c r="AK121" s="51">
        <f t="shared" si="195"/>
        <v>47136</v>
      </c>
      <c r="AL121" s="51">
        <f t="shared" si="195"/>
        <v>47167</v>
      </c>
      <c r="AM121" s="51">
        <f t="shared" si="195"/>
        <v>47198</v>
      </c>
      <c r="AN121" s="51">
        <f t="shared" si="195"/>
        <v>47229</v>
      </c>
      <c r="AO121" s="51">
        <f t="shared" si="195"/>
        <v>47260</v>
      </c>
      <c r="AP121" s="51">
        <f t="shared" si="195"/>
        <v>47291</v>
      </c>
      <c r="AQ121" s="51">
        <f t="shared" si="195"/>
        <v>47322</v>
      </c>
      <c r="AR121" s="51">
        <f t="shared" si="195"/>
        <v>47353</v>
      </c>
      <c r="AS121" s="51">
        <f t="shared" si="195"/>
        <v>47384</v>
      </c>
      <c r="AT121" s="51">
        <f t="shared" si="195"/>
        <v>47415</v>
      </c>
      <c r="AU121" s="51">
        <f t="shared" si="195"/>
        <v>47446</v>
      </c>
      <c r="AV121" s="51">
        <f t="shared" si="195"/>
        <v>47477</v>
      </c>
      <c r="AW121" s="51">
        <f t="shared" si="195"/>
        <v>47508</v>
      </c>
      <c r="AX121" s="51">
        <f t="shared" si="195"/>
        <v>47539</v>
      </c>
      <c r="AY121" s="51">
        <f t="shared" si="195"/>
        <v>47570</v>
      </c>
    </row>
    <row r="122" spans="1:51" s="7" customFormat="1" ht="16.5" customHeight="1" x14ac:dyDescent="0.3">
      <c r="A122" s="41" t="s">
        <v>133</v>
      </c>
      <c r="C122" s="9"/>
      <c r="D122" s="9"/>
      <c r="E122" s="9"/>
      <c r="F122" s="9"/>
      <c r="G122" s="9"/>
      <c r="H122" s="9"/>
      <c r="I122" s="9"/>
      <c r="J122" s="9"/>
    </row>
    <row r="123" spans="1:51" s="7" customFormat="1" ht="13" x14ac:dyDescent="0.3">
      <c r="A123" s="14" t="s">
        <v>182</v>
      </c>
      <c r="C123" s="9"/>
      <c r="D123" s="9"/>
      <c r="E123" s="9"/>
      <c r="F123" s="9"/>
      <c r="G123" s="9"/>
      <c r="H123" s="9"/>
      <c r="I123" s="9"/>
      <c r="J123" s="9"/>
    </row>
    <row r="124" spans="1:51" s="139" customFormat="1" ht="13" x14ac:dyDescent="0.3">
      <c r="A124" s="145" t="s">
        <v>122</v>
      </c>
      <c r="B124" s="136" t="s">
        <v>118</v>
      </c>
      <c r="C124" s="137"/>
      <c r="D124" s="146">
        <v>0.1</v>
      </c>
      <c r="E124" s="146">
        <f t="shared" ref="E124" si="196">D124</f>
        <v>0.1</v>
      </c>
      <c r="F124" s="146">
        <f t="shared" ref="F124" si="197">E124</f>
        <v>0.1</v>
      </c>
      <c r="G124" s="146">
        <f t="shared" ref="G124" si="198">F124</f>
        <v>0.1</v>
      </c>
      <c r="H124" s="146">
        <f t="shared" ref="H124" si="199">G124</f>
        <v>0.1</v>
      </c>
      <c r="I124" s="146">
        <f t="shared" ref="I124" si="200">H124</f>
        <v>0.1</v>
      </c>
      <c r="J124" s="146">
        <f t="shared" ref="J124" si="201">I124</f>
        <v>0.1</v>
      </c>
      <c r="K124" s="146">
        <f t="shared" ref="K124" si="202">J124</f>
        <v>0.1</v>
      </c>
      <c r="L124" s="146">
        <f t="shared" ref="L124" si="203">K124</f>
        <v>0.1</v>
      </c>
      <c r="M124" s="146">
        <f t="shared" ref="M124" si="204">L124</f>
        <v>0.1</v>
      </c>
      <c r="N124" s="146">
        <f t="shared" ref="N124" si="205">M124</f>
        <v>0.1</v>
      </c>
      <c r="O124" s="146">
        <f t="shared" ref="O124" si="206">N124</f>
        <v>0.1</v>
      </c>
      <c r="P124" s="146">
        <f t="shared" ref="P124" si="207">O124</f>
        <v>0.1</v>
      </c>
      <c r="Q124" s="146">
        <f t="shared" ref="Q124" si="208">P124</f>
        <v>0.1</v>
      </c>
      <c r="R124" s="146">
        <f t="shared" ref="R124" si="209">Q124</f>
        <v>0.1</v>
      </c>
      <c r="S124" s="146">
        <f t="shared" ref="S124" si="210">R124</f>
        <v>0.1</v>
      </c>
      <c r="T124" s="146">
        <f t="shared" ref="T124" si="211">S124</f>
        <v>0.1</v>
      </c>
      <c r="U124" s="146">
        <f t="shared" ref="U124" si="212">T124</f>
        <v>0.1</v>
      </c>
      <c r="V124" s="146">
        <f t="shared" ref="V124" si="213">U124</f>
        <v>0.1</v>
      </c>
      <c r="W124" s="146">
        <f t="shared" ref="W124" si="214">V124</f>
        <v>0.1</v>
      </c>
      <c r="X124" s="146">
        <f t="shared" ref="X124" si="215">W124</f>
        <v>0.1</v>
      </c>
      <c r="Y124" s="146">
        <f t="shared" ref="Y124" si="216">X124</f>
        <v>0.1</v>
      </c>
      <c r="Z124" s="146">
        <f t="shared" ref="Z124" si="217">Y124</f>
        <v>0.1</v>
      </c>
      <c r="AA124" s="146">
        <f t="shared" ref="AA124" si="218">Z124</f>
        <v>0.1</v>
      </c>
      <c r="AB124" s="146">
        <f t="shared" ref="AB124" si="219">AA124</f>
        <v>0.1</v>
      </c>
      <c r="AC124" s="146">
        <f t="shared" ref="AC124" si="220">AB124</f>
        <v>0.1</v>
      </c>
      <c r="AD124" s="146">
        <f t="shared" ref="AD124" si="221">AC124</f>
        <v>0.1</v>
      </c>
      <c r="AE124" s="146">
        <f t="shared" ref="AE124" si="222">AD124</f>
        <v>0.1</v>
      </c>
      <c r="AF124" s="146">
        <f t="shared" ref="AF124" si="223">AE124</f>
        <v>0.1</v>
      </c>
      <c r="AG124" s="146">
        <f t="shared" ref="AG124" si="224">AF124</f>
        <v>0.1</v>
      </c>
      <c r="AH124" s="146">
        <f t="shared" ref="AH124" si="225">AG124</f>
        <v>0.1</v>
      </c>
      <c r="AI124" s="146">
        <f t="shared" ref="AI124" si="226">AH124</f>
        <v>0.1</v>
      </c>
      <c r="AJ124" s="146">
        <f t="shared" ref="AJ124" si="227">AI124</f>
        <v>0.1</v>
      </c>
      <c r="AK124" s="146">
        <f t="shared" ref="AK124" si="228">AJ124</f>
        <v>0.1</v>
      </c>
      <c r="AL124" s="146">
        <f t="shared" ref="AL124" si="229">AK124</f>
        <v>0.1</v>
      </c>
      <c r="AM124" s="146">
        <f t="shared" ref="AM124" si="230">AL124</f>
        <v>0.1</v>
      </c>
      <c r="AN124" s="146">
        <f t="shared" ref="AN124" si="231">AM124</f>
        <v>0.1</v>
      </c>
      <c r="AO124" s="146">
        <f t="shared" ref="AO124" si="232">AN124</f>
        <v>0.1</v>
      </c>
      <c r="AP124" s="146">
        <f t="shared" ref="AP124" si="233">AO124</f>
        <v>0.1</v>
      </c>
      <c r="AQ124" s="146">
        <f t="shared" ref="AQ124" si="234">AP124</f>
        <v>0.1</v>
      </c>
      <c r="AR124" s="146">
        <f t="shared" ref="AR124" si="235">AQ124</f>
        <v>0.1</v>
      </c>
      <c r="AS124" s="146">
        <f t="shared" ref="AS124" si="236">AR124</f>
        <v>0.1</v>
      </c>
      <c r="AT124" s="146">
        <f t="shared" ref="AT124" si="237">AS124</f>
        <v>0.1</v>
      </c>
      <c r="AU124" s="146">
        <f t="shared" ref="AU124" si="238">AT124</f>
        <v>0.1</v>
      </c>
      <c r="AV124" s="146">
        <f t="shared" ref="AV124" si="239">AU124</f>
        <v>0.1</v>
      </c>
      <c r="AW124" s="146">
        <f t="shared" ref="AW124" si="240">AV124</f>
        <v>0.1</v>
      </c>
      <c r="AX124" s="146">
        <f t="shared" ref="AX124" si="241">AW124</f>
        <v>0.1</v>
      </c>
      <c r="AY124" s="146">
        <f t="shared" ref="AY124" si="242">AX124</f>
        <v>0.1</v>
      </c>
    </row>
    <row r="125" spans="1:51" s="80" customFormat="1" ht="13" x14ac:dyDescent="0.3">
      <c r="A125" s="80" t="s">
        <v>119</v>
      </c>
      <c r="B125" s="80" t="s">
        <v>120</v>
      </c>
      <c r="C125" s="147"/>
      <c r="D125" s="148">
        <f t="shared" ref="D125:E125" si="243">100%-100%/(100%+D124)</f>
        <v>9.0909090909090939E-2</v>
      </c>
      <c r="E125" s="148">
        <f t="shared" si="243"/>
        <v>9.0909090909090939E-2</v>
      </c>
      <c r="F125" s="148">
        <f t="shared" ref="F125:AY125" si="244">100%-100%/(100%+F124)</f>
        <v>9.0909090909090939E-2</v>
      </c>
      <c r="G125" s="148">
        <f t="shared" si="244"/>
        <v>9.0909090909090939E-2</v>
      </c>
      <c r="H125" s="148">
        <f t="shared" si="244"/>
        <v>9.0909090909090939E-2</v>
      </c>
      <c r="I125" s="148">
        <f t="shared" si="244"/>
        <v>9.0909090909090939E-2</v>
      </c>
      <c r="J125" s="148">
        <f t="shared" si="244"/>
        <v>9.0909090909090939E-2</v>
      </c>
      <c r="K125" s="148">
        <f t="shared" si="244"/>
        <v>9.0909090909090939E-2</v>
      </c>
      <c r="L125" s="148">
        <f t="shared" si="244"/>
        <v>9.0909090909090939E-2</v>
      </c>
      <c r="M125" s="148">
        <f t="shared" si="244"/>
        <v>9.0909090909090939E-2</v>
      </c>
      <c r="N125" s="148">
        <f t="shared" si="244"/>
        <v>9.0909090909090939E-2</v>
      </c>
      <c r="O125" s="148">
        <f t="shared" si="244"/>
        <v>9.0909090909090939E-2</v>
      </c>
      <c r="P125" s="148">
        <f t="shared" si="244"/>
        <v>9.0909090909090939E-2</v>
      </c>
      <c r="Q125" s="148">
        <f t="shared" si="244"/>
        <v>9.0909090909090939E-2</v>
      </c>
      <c r="R125" s="148">
        <f t="shared" si="244"/>
        <v>9.0909090909090939E-2</v>
      </c>
      <c r="S125" s="148">
        <f t="shared" si="244"/>
        <v>9.0909090909090939E-2</v>
      </c>
      <c r="T125" s="148">
        <f t="shared" si="244"/>
        <v>9.0909090909090939E-2</v>
      </c>
      <c r="U125" s="148">
        <f t="shared" si="244"/>
        <v>9.0909090909090939E-2</v>
      </c>
      <c r="V125" s="148">
        <f t="shared" si="244"/>
        <v>9.0909090909090939E-2</v>
      </c>
      <c r="W125" s="148">
        <f t="shared" si="244"/>
        <v>9.0909090909090939E-2</v>
      </c>
      <c r="X125" s="148">
        <f t="shared" si="244"/>
        <v>9.0909090909090939E-2</v>
      </c>
      <c r="Y125" s="148">
        <f t="shared" si="244"/>
        <v>9.0909090909090939E-2</v>
      </c>
      <c r="Z125" s="148">
        <f t="shared" si="244"/>
        <v>9.0909090909090939E-2</v>
      </c>
      <c r="AA125" s="148">
        <f t="shared" si="244"/>
        <v>9.0909090909090939E-2</v>
      </c>
      <c r="AB125" s="148">
        <f t="shared" si="244"/>
        <v>9.0909090909090939E-2</v>
      </c>
      <c r="AC125" s="148">
        <f t="shared" si="244"/>
        <v>9.0909090909090939E-2</v>
      </c>
      <c r="AD125" s="148">
        <f t="shared" si="244"/>
        <v>9.0909090909090939E-2</v>
      </c>
      <c r="AE125" s="148">
        <f t="shared" si="244"/>
        <v>9.0909090909090939E-2</v>
      </c>
      <c r="AF125" s="148">
        <f t="shared" si="244"/>
        <v>9.0909090909090939E-2</v>
      </c>
      <c r="AG125" s="148">
        <f t="shared" si="244"/>
        <v>9.0909090909090939E-2</v>
      </c>
      <c r="AH125" s="148">
        <f t="shared" si="244"/>
        <v>9.0909090909090939E-2</v>
      </c>
      <c r="AI125" s="148">
        <f t="shared" si="244"/>
        <v>9.0909090909090939E-2</v>
      </c>
      <c r="AJ125" s="148">
        <f t="shared" si="244"/>
        <v>9.0909090909090939E-2</v>
      </c>
      <c r="AK125" s="148">
        <f t="shared" si="244"/>
        <v>9.0909090909090939E-2</v>
      </c>
      <c r="AL125" s="148">
        <f t="shared" si="244"/>
        <v>9.0909090909090939E-2</v>
      </c>
      <c r="AM125" s="148">
        <f t="shared" si="244"/>
        <v>9.0909090909090939E-2</v>
      </c>
      <c r="AN125" s="148">
        <f t="shared" si="244"/>
        <v>9.0909090909090939E-2</v>
      </c>
      <c r="AO125" s="148">
        <f t="shared" si="244"/>
        <v>9.0909090909090939E-2</v>
      </c>
      <c r="AP125" s="148">
        <f t="shared" si="244"/>
        <v>9.0909090909090939E-2</v>
      </c>
      <c r="AQ125" s="148">
        <f t="shared" si="244"/>
        <v>9.0909090909090939E-2</v>
      </c>
      <c r="AR125" s="148">
        <f t="shared" si="244"/>
        <v>9.0909090909090939E-2</v>
      </c>
      <c r="AS125" s="148">
        <f t="shared" si="244"/>
        <v>9.0909090909090939E-2</v>
      </c>
      <c r="AT125" s="148">
        <f t="shared" si="244"/>
        <v>9.0909090909090939E-2</v>
      </c>
      <c r="AU125" s="148">
        <f t="shared" si="244"/>
        <v>9.0909090909090939E-2</v>
      </c>
      <c r="AV125" s="148">
        <f t="shared" si="244"/>
        <v>9.0909090909090939E-2</v>
      </c>
      <c r="AW125" s="148">
        <f t="shared" si="244"/>
        <v>9.0909090909090939E-2</v>
      </c>
      <c r="AX125" s="148">
        <f t="shared" si="244"/>
        <v>9.0909090909090939E-2</v>
      </c>
      <c r="AY125" s="148">
        <f t="shared" si="244"/>
        <v>9.0909090909090939E-2</v>
      </c>
    </row>
    <row r="126" spans="1:51" s="150" customFormat="1" ht="11.25" customHeight="1" x14ac:dyDescent="0.35">
      <c r="A126" s="149"/>
      <c r="B126" s="17"/>
      <c r="C126" s="127"/>
      <c r="D126" s="127"/>
      <c r="E126" s="127"/>
      <c r="F126" s="127"/>
      <c r="G126" s="127"/>
      <c r="H126" s="127"/>
      <c r="I126" s="127"/>
      <c r="J126" s="127"/>
      <c r="K126" s="127"/>
      <c r="L126" s="127"/>
      <c r="M126" s="127"/>
      <c r="N126" s="127"/>
      <c r="O126" s="127"/>
    </row>
    <row r="127" spans="1:51" s="45" customFormat="1" ht="13" x14ac:dyDescent="0.3">
      <c r="A127" s="45" t="s">
        <v>123</v>
      </c>
      <c r="B127" s="7" t="s">
        <v>44</v>
      </c>
      <c r="C127" s="46">
        <f>SUM(D127:O127)</f>
        <v>7455.3650258512498</v>
      </c>
      <c r="D127" s="46">
        <f>D72*D125</f>
        <v>0</v>
      </c>
      <c r="E127" s="46">
        <f>E72*E125</f>
        <v>0</v>
      </c>
      <c r="F127" s="46">
        <f>F72*F125</f>
        <v>0</v>
      </c>
      <c r="G127" s="46">
        <f>G72*G125</f>
        <v>0</v>
      </c>
      <c r="H127" s="46">
        <f>H72*H125</f>
        <v>0</v>
      </c>
      <c r="I127" s="46">
        <f>I72*I125</f>
        <v>0</v>
      </c>
      <c r="J127" s="46">
        <f>J72*J125</f>
        <v>1227.2727272727277</v>
      </c>
      <c r="K127" s="46">
        <f>K72*K125</f>
        <v>1233.3477272727275</v>
      </c>
      <c r="L127" s="46">
        <f>L72*L125</f>
        <v>1239.4527985227276</v>
      </c>
      <c r="M127" s="46">
        <f>M72*M125</f>
        <v>1245.5880898754151</v>
      </c>
      <c r="N127" s="46">
        <f>N72*N125</f>
        <v>1251.7537509202984</v>
      </c>
      <c r="O127" s="46">
        <f>O72*O125</f>
        <v>1257.9499319873539</v>
      </c>
      <c r="P127" s="46">
        <f>P72*P125</f>
        <v>1264.1767841506914</v>
      </c>
      <c r="Q127" s="46">
        <f>Q72*Q125</f>
        <v>1270.4344592322373</v>
      </c>
      <c r="R127" s="46">
        <f>R72*R125</f>
        <v>1276.7231098054369</v>
      </c>
      <c r="S127" s="46">
        <f>S72*S125</f>
        <v>1283.0428891989739</v>
      </c>
      <c r="T127" s="46">
        <f>T72*T125</f>
        <v>1289.3939515005086</v>
      </c>
      <c r="U127" s="46">
        <f>U72*U125</f>
        <v>1295.7764515604363</v>
      </c>
      <c r="V127" s="46">
        <f>V72*V125</f>
        <v>1302.19054499566</v>
      </c>
      <c r="W127" s="46">
        <f>W72*W125</f>
        <v>1308.6363881933887</v>
      </c>
      <c r="X127" s="46">
        <f>X72*X125</f>
        <v>1315.1141383149461</v>
      </c>
      <c r="Y127" s="46">
        <f>Y72*Y125</f>
        <v>1321.6239532996051</v>
      </c>
      <c r="Z127" s="46">
        <f>Z72*Z125</f>
        <v>1328.1659918684381</v>
      </c>
      <c r="AA127" s="46">
        <f>AA72*AA125</f>
        <v>1334.740413528187</v>
      </c>
      <c r="AB127" s="46">
        <f>AB72*AB125</f>
        <v>1341.3473785751517</v>
      </c>
      <c r="AC127" s="46">
        <f>AC72*AC125</f>
        <v>1347.9870480990987</v>
      </c>
      <c r="AD127" s="46">
        <f>AD72*AD125</f>
        <v>1354.6595839871893</v>
      </c>
      <c r="AE127" s="46">
        <f>AE72*AE125</f>
        <v>1361.3651489279259</v>
      </c>
      <c r="AF127" s="46">
        <f>AF72*AF125</f>
        <v>1368.1039064151191</v>
      </c>
      <c r="AG127" s="46">
        <f>AG72*AG125</f>
        <v>1374.8760207518737</v>
      </c>
      <c r="AH127" s="46">
        <f>AH72*AH125</f>
        <v>1381.6816570545957</v>
      </c>
      <c r="AI127" s="46">
        <f>AI72*AI125</f>
        <v>1388.5209812570158</v>
      </c>
      <c r="AJ127" s="46">
        <f>AJ72*AJ125</f>
        <v>1395.394160114238</v>
      </c>
      <c r="AK127" s="46">
        <f>AK72*AK125</f>
        <v>1402.3013612068037</v>
      </c>
      <c r="AL127" s="46">
        <f>AL72*AL125</f>
        <v>1409.2427529447773</v>
      </c>
      <c r="AM127" s="46">
        <f>AM72*AM125</f>
        <v>1416.2185045718538</v>
      </c>
      <c r="AN127" s="46">
        <f>AN72*AN125</f>
        <v>1423.2287861694842</v>
      </c>
      <c r="AO127" s="46">
        <f>AO72*AO125</f>
        <v>1430.2737686610237</v>
      </c>
      <c r="AP127" s="46">
        <f>AP72*AP125</f>
        <v>1437.3536238158956</v>
      </c>
      <c r="AQ127" s="46">
        <f>AQ72*AQ125</f>
        <v>1444.4685242537844</v>
      </c>
      <c r="AR127" s="46">
        <f>AR72*AR125</f>
        <v>1451.6186434488404</v>
      </c>
      <c r="AS127" s="46">
        <f>AS72*AS125</f>
        <v>1458.8041557339122</v>
      </c>
      <c r="AT127" s="46">
        <f>AT72*AT125</f>
        <v>1466.0252363047953</v>
      </c>
      <c r="AU127" s="46">
        <f>AU72*AU125</f>
        <v>1473.2820612245041</v>
      </c>
      <c r="AV127" s="46">
        <f>AV72*AV125</f>
        <v>1480.5748074275652</v>
      </c>
      <c r="AW127" s="46">
        <f>AW72*AW125</f>
        <v>1480.5748074275652</v>
      </c>
      <c r="AX127" s="46">
        <f>AX72*AX125</f>
        <v>1480.5748074275652</v>
      </c>
      <c r="AY127" s="46">
        <f>AY72*AY125</f>
        <v>1480.5748074275652</v>
      </c>
    </row>
    <row r="128" spans="1:51" s="45" customFormat="1" ht="13" x14ac:dyDescent="0.3">
      <c r="A128" s="14" t="s">
        <v>183</v>
      </c>
      <c r="B128" s="7"/>
      <c r="C128" s="46"/>
      <c r="D128" s="46"/>
      <c r="E128" s="46"/>
      <c r="F128" s="46"/>
      <c r="G128" s="46"/>
      <c r="H128" s="46"/>
      <c r="I128" s="46"/>
      <c r="J128" s="46"/>
      <c r="K128" s="46"/>
      <c r="L128" s="46"/>
      <c r="M128" s="46"/>
      <c r="N128" s="46"/>
      <c r="O128" s="46"/>
    </row>
    <row r="129" spans="1:51" s="45" customFormat="1" ht="13" x14ac:dyDescent="0.3">
      <c r="A129" s="45" t="s">
        <v>121</v>
      </c>
      <c r="B129" s="7" t="s">
        <v>44</v>
      </c>
      <c r="C129" s="46">
        <f>SUM(D129:O129)</f>
        <v>11599.348630015576</v>
      </c>
      <c r="D129" s="46">
        <f>(D82+D100+D110)*D125</f>
        <v>110.00000000000004</v>
      </c>
      <c r="E129" s="46">
        <f>(E82+E100+E110)*E125</f>
        <v>1019.0909090909095</v>
      </c>
      <c r="F129" s="46">
        <f>(F82+F100+F110)*F125</f>
        <v>1746.3636363636369</v>
      </c>
      <c r="G129" s="46">
        <f>(G82+G100+G110)*G125</f>
        <v>2473.6363636363644</v>
      </c>
      <c r="H129" s="46">
        <f>(H82+H100+H110)*H125</f>
        <v>1200.9090909090912</v>
      </c>
      <c r="I129" s="46">
        <f>(I82+I100+I110)*I125</f>
        <v>1746.3636363636369</v>
      </c>
      <c r="J129" s="46">
        <f>(J82+J100+J110)*J125</f>
        <v>465.72727272727286</v>
      </c>
      <c r="K129" s="46">
        <f>(K82+K100+K110)*K125</f>
        <v>560.19363636363653</v>
      </c>
      <c r="L129" s="46">
        <f>(L82+L100+L110)*L125</f>
        <v>563.78648181818198</v>
      </c>
      <c r="M129" s="46">
        <f>(M82+M100+M110)*M125</f>
        <v>567.41525572727301</v>
      </c>
      <c r="N129" s="46">
        <f>(N82+N100+N110)*N125</f>
        <v>571.08031737545468</v>
      </c>
      <c r="O129" s="46">
        <f>(O82+O100+O110)*O125</f>
        <v>574.78202964011837</v>
      </c>
      <c r="P129" s="46">
        <f>(P82+P100+P110)*P125</f>
        <v>578.52075902742865</v>
      </c>
      <c r="Q129" s="46">
        <f>(Q82+Q100+Q110)*Q125</f>
        <v>582.29687570861199</v>
      </c>
      <c r="R129" s="46">
        <f>(R82+R100+R110)*R125</f>
        <v>586.11075355660728</v>
      </c>
      <c r="S129" s="46">
        <f>(S82+S100+S110)*S125</f>
        <v>589.9627701830824</v>
      </c>
      <c r="T129" s="46">
        <f>(T82+T100+T110)*T125</f>
        <v>593.85330697582231</v>
      </c>
      <c r="U129" s="46">
        <f>(U82+U100+U110)*U125</f>
        <v>597.78274913648966</v>
      </c>
      <c r="V129" s="46">
        <f>(V82+V100+V110)*V125</f>
        <v>601.75148571876355</v>
      </c>
      <c r="W129" s="46">
        <f>(W82+W100+W110)*W125</f>
        <v>605.75990966686038</v>
      </c>
      <c r="X129" s="46">
        <f>(X82+X100+X110)*X125</f>
        <v>609.80841785443806</v>
      </c>
      <c r="Y129" s="46">
        <f>(Y82+Y100+Y110)*Y125</f>
        <v>613.89741112389163</v>
      </c>
      <c r="Z129" s="46">
        <f>(Z82+Z100+Z110)*Z125</f>
        <v>618.02729432603951</v>
      </c>
      <c r="AA129" s="46">
        <f>(AA82+AA100+AA110)*AA125</f>
        <v>622.19847636020904</v>
      </c>
      <c r="AB129" s="46">
        <f>(AB82+AB100+AB110)*AB125</f>
        <v>626.41137021472025</v>
      </c>
      <c r="AC129" s="46">
        <f>(AC82+AC100+AC110)*AC125</f>
        <v>630.66639300777661</v>
      </c>
      <c r="AD129" s="46">
        <f>(AD82+AD100+AD110)*AD125</f>
        <v>634.96396602876337</v>
      </c>
      <c r="AE129" s="46">
        <f>(AE82+AE100+AE110)*AE125</f>
        <v>639.30451477996019</v>
      </c>
      <c r="AF129" s="46">
        <f>(AF82+AF100+AF110)*AF125</f>
        <v>643.6884690186688</v>
      </c>
      <c r="AG129" s="46">
        <f>(AG82+AG100+AG110)*AG125</f>
        <v>648.11626279976463</v>
      </c>
      <c r="AH129" s="46">
        <f>(AH82+AH100+AH110)*AH125</f>
        <v>652.58833451867133</v>
      </c>
      <c r="AI129" s="46">
        <f>(AI82+AI100+AI110)*AI125</f>
        <v>657.10512695476712</v>
      </c>
      <c r="AJ129" s="46">
        <f>(AJ82+AJ100+AJ110)*AJ125</f>
        <v>661.66708731522385</v>
      </c>
      <c r="AK129" s="46">
        <f>(AK82+AK100+AK110)*AK125</f>
        <v>666.27466727928527</v>
      </c>
      <c r="AL129" s="46">
        <f>(AL82+AL100+AL110)*AL125</f>
        <v>670.92832304298713</v>
      </c>
      <c r="AM129" s="46">
        <f>(AM82+AM100+AM110)*AM125</f>
        <v>675.62851536432606</v>
      </c>
      <c r="AN129" s="46">
        <f>(AN82+AN100+AN110)*AN125</f>
        <v>680.37570960887854</v>
      </c>
      <c r="AO129" s="46">
        <f>(AO82+AO100+AO110)*AO125</f>
        <v>685.17037579587645</v>
      </c>
      <c r="AP129" s="46">
        <f>(AP82+AP100+AP110)*AP125</f>
        <v>690.01298864474427</v>
      </c>
      <c r="AQ129" s="46">
        <f>(AQ82+AQ100+AQ110)*AQ125</f>
        <v>694.90402762210078</v>
      </c>
      <c r="AR129" s="46">
        <f>(AR82+AR100+AR110)*AR125</f>
        <v>699.8439769892309</v>
      </c>
      <c r="AS129" s="46">
        <f>(AS82+AS100+AS110)*AS125</f>
        <v>704.83332585003222</v>
      </c>
      <c r="AT129" s="46">
        <f>(AT82+AT100+AT110)*AT125</f>
        <v>709.87256819944173</v>
      </c>
      <c r="AU129" s="46">
        <f>(AU82+AU100+AU110)*AU125</f>
        <v>714.96220297234527</v>
      </c>
      <c r="AV129" s="46">
        <f>(AV82+AV100+AV110)*AV125</f>
        <v>718.37783826844657</v>
      </c>
      <c r="AW129" s="46">
        <f>(AW82+AW100+AW110)*AW125</f>
        <v>718.37783826844657</v>
      </c>
      <c r="AX129" s="46">
        <f>(AX82+AX100+AX110)*AX125</f>
        <v>627.46874735935569</v>
      </c>
      <c r="AY129" s="46">
        <f>(AY82+AY100+AY110)*AY125</f>
        <v>454.9791649062372</v>
      </c>
    </row>
    <row r="130" spans="1:51" s="43" customFormat="1" ht="13" x14ac:dyDescent="0.3">
      <c r="A130" s="43" t="s">
        <v>190</v>
      </c>
      <c r="B130" s="7" t="s">
        <v>44</v>
      </c>
      <c r="C130" s="42">
        <f>SUM(D130:O130)</f>
        <v>-4143.9836041643275</v>
      </c>
      <c r="D130" s="151">
        <f>D127-D129</f>
        <v>-110.00000000000004</v>
      </c>
      <c r="E130" s="151">
        <f t="shared" ref="E130:AY130" si="245">E127-E129</f>
        <v>-1019.0909090909095</v>
      </c>
      <c r="F130" s="151">
        <f t="shared" si="245"/>
        <v>-1746.3636363636369</v>
      </c>
      <c r="G130" s="151">
        <f t="shared" si="245"/>
        <v>-2473.6363636363644</v>
      </c>
      <c r="H130" s="151">
        <f t="shared" si="245"/>
        <v>-1200.9090909090912</v>
      </c>
      <c r="I130" s="151">
        <f t="shared" si="245"/>
        <v>-1746.3636363636369</v>
      </c>
      <c r="J130" s="151">
        <f t="shared" si="245"/>
        <v>761.54545454545485</v>
      </c>
      <c r="K130" s="151">
        <f t="shared" si="245"/>
        <v>673.154090909091</v>
      </c>
      <c r="L130" s="151">
        <f t="shared" si="245"/>
        <v>675.66631670454558</v>
      </c>
      <c r="M130" s="151">
        <f t="shared" si="245"/>
        <v>678.1728341481421</v>
      </c>
      <c r="N130" s="151">
        <f t="shared" si="245"/>
        <v>680.67343354484376</v>
      </c>
      <c r="O130" s="151">
        <f t="shared" si="245"/>
        <v>683.16790234723555</v>
      </c>
      <c r="P130" s="151">
        <f t="shared" si="245"/>
        <v>685.65602512326279</v>
      </c>
      <c r="Q130" s="151">
        <f t="shared" si="245"/>
        <v>688.13758352362527</v>
      </c>
      <c r="R130" s="151">
        <f t="shared" si="245"/>
        <v>690.61235624882966</v>
      </c>
      <c r="S130" s="151">
        <f t="shared" si="245"/>
        <v>693.08011901589146</v>
      </c>
      <c r="T130" s="151">
        <f t="shared" si="245"/>
        <v>695.54064452468629</v>
      </c>
      <c r="U130" s="151">
        <f t="shared" si="245"/>
        <v>697.99370242394662</v>
      </c>
      <c r="V130" s="151">
        <f t="shared" si="245"/>
        <v>700.4390592768965</v>
      </c>
      <c r="W130" s="151">
        <f t="shared" si="245"/>
        <v>702.87647852652833</v>
      </c>
      <c r="X130" s="151">
        <f t="shared" si="245"/>
        <v>705.30572046050804</v>
      </c>
      <c r="Y130" s="151">
        <f t="shared" si="245"/>
        <v>707.72654217571346</v>
      </c>
      <c r="Z130" s="151">
        <f t="shared" si="245"/>
        <v>710.13869754239863</v>
      </c>
      <c r="AA130" s="151">
        <f t="shared" si="245"/>
        <v>712.54193716797795</v>
      </c>
      <c r="AB130" s="151">
        <f t="shared" si="245"/>
        <v>714.9360083604314</v>
      </c>
      <c r="AC130" s="151">
        <f t="shared" si="245"/>
        <v>717.32065509132212</v>
      </c>
      <c r="AD130" s="151">
        <f t="shared" si="245"/>
        <v>719.69561795842594</v>
      </c>
      <c r="AE130" s="151">
        <f t="shared" si="245"/>
        <v>722.06063414796574</v>
      </c>
      <c r="AF130" s="151">
        <f t="shared" si="245"/>
        <v>724.41543739645033</v>
      </c>
      <c r="AG130" s="151">
        <f t="shared" si="245"/>
        <v>726.75975795210911</v>
      </c>
      <c r="AH130" s="151">
        <f t="shared" si="245"/>
        <v>729.09332253592436</v>
      </c>
      <c r="AI130" s="151">
        <f t="shared" si="245"/>
        <v>731.4158543022487</v>
      </c>
      <c r="AJ130" s="151">
        <f t="shared" si="245"/>
        <v>733.72707279901419</v>
      </c>
      <c r="AK130" s="151">
        <f t="shared" si="245"/>
        <v>736.02669392751841</v>
      </c>
      <c r="AL130" s="151">
        <f t="shared" si="245"/>
        <v>738.31442990179016</v>
      </c>
      <c r="AM130" s="151">
        <f t="shared" si="245"/>
        <v>740.58998920752776</v>
      </c>
      <c r="AN130" s="151">
        <f t="shared" si="245"/>
        <v>742.8530765606057</v>
      </c>
      <c r="AO130" s="151">
        <f t="shared" si="245"/>
        <v>745.10339286514727</v>
      </c>
      <c r="AP130" s="151">
        <f t="shared" si="245"/>
        <v>747.34063517115135</v>
      </c>
      <c r="AQ130" s="151">
        <f t="shared" si="245"/>
        <v>749.5644966316836</v>
      </c>
      <c r="AR130" s="151">
        <f t="shared" si="245"/>
        <v>751.77466645960953</v>
      </c>
      <c r="AS130" s="151">
        <f t="shared" si="245"/>
        <v>753.97082988388001</v>
      </c>
      <c r="AT130" s="151">
        <f t="shared" si="245"/>
        <v>756.15266810535354</v>
      </c>
      <c r="AU130" s="151">
        <f t="shared" si="245"/>
        <v>758.31985825215884</v>
      </c>
      <c r="AV130" s="151">
        <f t="shared" si="245"/>
        <v>762.19696915911868</v>
      </c>
      <c r="AW130" s="151">
        <f t="shared" si="245"/>
        <v>762.19696915911868</v>
      </c>
      <c r="AX130" s="151">
        <f t="shared" si="245"/>
        <v>853.10606006820956</v>
      </c>
      <c r="AY130" s="151">
        <f t="shared" si="245"/>
        <v>1025.595642521328</v>
      </c>
    </row>
    <row r="131" spans="1:51" s="7" customFormat="1" ht="21" customHeight="1" x14ac:dyDescent="0.3">
      <c r="A131" s="41" t="s">
        <v>134</v>
      </c>
      <c r="C131" s="9"/>
      <c r="D131" s="9"/>
      <c r="E131" s="9"/>
      <c r="F131" s="9"/>
      <c r="G131" s="9"/>
      <c r="H131" s="9"/>
      <c r="I131" s="9"/>
      <c r="J131" s="9"/>
    </row>
    <row r="132" spans="1:51" s="7" customFormat="1" ht="15.75" customHeight="1" x14ac:dyDescent="0.3">
      <c r="A132" s="81" t="s">
        <v>41</v>
      </c>
      <c r="C132" s="9"/>
      <c r="D132" s="9"/>
      <c r="E132" s="9"/>
      <c r="F132" s="9"/>
      <c r="G132" s="9"/>
      <c r="H132" s="9"/>
      <c r="I132" s="9"/>
      <c r="J132" s="9"/>
    </row>
    <row r="133" spans="1:51" s="7" customFormat="1" ht="13" x14ac:dyDescent="0.3">
      <c r="A133" s="14" t="s">
        <v>184</v>
      </c>
      <c r="C133" s="39"/>
      <c r="D133" s="39"/>
      <c r="E133" s="39"/>
      <c r="F133" s="39"/>
      <c r="G133" s="39"/>
      <c r="H133" s="39"/>
      <c r="I133" s="39"/>
      <c r="J133" s="39"/>
    </row>
    <row r="134" spans="1:51" s="7" customFormat="1" ht="13" x14ac:dyDescent="0.3">
      <c r="A134" s="14" t="s">
        <v>185</v>
      </c>
      <c r="C134" s="39"/>
      <c r="D134" s="39"/>
      <c r="E134" s="39"/>
      <c r="F134" s="39"/>
      <c r="G134" s="39"/>
      <c r="H134" s="39"/>
      <c r="I134" s="39"/>
      <c r="J134" s="39"/>
    </row>
    <row r="135" spans="1:51" s="7" customFormat="1" ht="13" x14ac:dyDescent="0.3">
      <c r="A135" s="14" t="s">
        <v>67</v>
      </c>
      <c r="C135" s="39"/>
      <c r="D135" s="39"/>
      <c r="E135" s="39"/>
      <c r="F135" s="39"/>
      <c r="G135" s="39"/>
      <c r="H135" s="39"/>
      <c r="I135" s="39"/>
      <c r="J135" s="39"/>
    </row>
    <row r="136" spans="1:51" s="7" customFormat="1" ht="13" x14ac:dyDescent="0.3">
      <c r="A136" s="55" t="s">
        <v>65</v>
      </c>
      <c r="B136" s="55" t="s">
        <v>44</v>
      </c>
      <c r="C136" s="42"/>
      <c r="D136" s="52">
        <v>0</v>
      </c>
      <c r="E136" s="46">
        <f t="shared" ref="E136:V136" si="246">D141</f>
        <v>0</v>
      </c>
      <c r="F136" s="46">
        <f t="shared" si="246"/>
        <v>9791.6666666666661</v>
      </c>
      <c r="G136" s="46">
        <f t="shared" si="246"/>
        <v>27212.673611111109</v>
      </c>
      <c r="H136" s="46">
        <f t="shared" si="246"/>
        <v>52104.076244212964</v>
      </c>
      <c r="I136" s="46">
        <f t="shared" si="246"/>
        <v>62768.574655791861</v>
      </c>
      <c r="J136" s="46">
        <f t="shared" si="246"/>
        <v>79085.896017129533</v>
      </c>
      <c r="K136" s="46">
        <f t="shared" si="246"/>
        <v>77438.273183439334</v>
      </c>
      <c r="L136" s="46">
        <f t="shared" si="246"/>
        <v>76804.14249211768</v>
      </c>
      <c r="M136" s="46">
        <f t="shared" si="246"/>
        <v>76183.222856865235</v>
      </c>
      <c r="N136" s="46">
        <f t="shared" si="246"/>
        <v>75575.239047347204</v>
      </c>
      <c r="O136" s="46">
        <f t="shared" si="246"/>
        <v>74979.921567194135</v>
      </c>
      <c r="P136" s="46">
        <f t="shared" si="246"/>
        <v>74397.006534544256</v>
      </c>
      <c r="Q136" s="46">
        <f t="shared" si="246"/>
        <v>73826.235565074589</v>
      </c>
      <c r="R136" s="46">
        <f t="shared" si="246"/>
        <v>73267.35565746887</v>
      </c>
      <c r="S136" s="46">
        <f t="shared" si="246"/>
        <v>72720.119081271609</v>
      </c>
      <c r="T136" s="46">
        <f t="shared" si="246"/>
        <v>72184.283267078456</v>
      </c>
      <c r="U136" s="46">
        <f t="shared" si="246"/>
        <v>71659.610699014316</v>
      </c>
      <c r="V136" s="46">
        <f t="shared" si="246"/>
        <v>71145.868809451524</v>
      </c>
      <c r="W136" s="46">
        <f t="shared" ref="W136" si="247">V141</f>
        <v>70642.829875921278</v>
      </c>
      <c r="X136" s="46">
        <f t="shared" ref="X136" si="248">W141</f>
        <v>70150.270920172916</v>
      </c>
      <c r="Y136" s="46">
        <f t="shared" ref="Y136" si="249">X141</f>
        <v>69667.973609335982</v>
      </c>
      <c r="Z136" s="46">
        <f t="shared" ref="Z136" si="250">Y141</f>
        <v>69195.724159141479</v>
      </c>
      <c r="AA136" s="46">
        <f t="shared" ref="AA136" si="251">Z141</f>
        <v>68733.313239159368</v>
      </c>
      <c r="AB136" s="46">
        <f t="shared" ref="AB136" si="252">AA141</f>
        <v>68280.535880010211</v>
      </c>
      <c r="AC136" s="46">
        <f t="shared" ref="AC136" si="253">AB141</f>
        <v>67837.191382510005</v>
      </c>
      <c r="AD136" s="46">
        <f t="shared" ref="AD136" si="254">AC141</f>
        <v>67403.083228707721</v>
      </c>
      <c r="AE136" s="46">
        <f t="shared" ref="AE136" si="255">AD141</f>
        <v>66978.018994776314</v>
      </c>
      <c r="AF136" s="46">
        <f t="shared" ref="AF136" si="256">AE141</f>
        <v>66561.810265718479</v>
      </c>
      <c r="AG136" s="46">
        <f t="shared" ref="AG136" si="257">AF141</f>
        <v>66154.272551849339</v>
      </c>
      <c r="AH136" s="46">
        <f t="shared" ref="AH136" si="258">AG141</f>
        <v>65755.225207019146</v>
      </c>
      <c r="AI136" s="46">
        <f t="shared" ref="AI136" si="259">AH141</f>
        <v>65364.491348539581</v>
      </c>
      <c r="AJ136" s="46">
        <f t="shared" ref="AJ136" si="260">AI141</f>
        <v>64981.897778778337</v>
      </c>
      <c r="AK136" s="46">
        <f t="shared" ref="AK136" si="261">AJ141</f>
        <v>64607.274908387124</v>
      </c>
      <c r="AL136" s="46">
        <f t="shared" ref="AL136" si="262">AK141</f>
        <v>64240.456681129064</v>
      </c>
      <c r="AM136" s="46">
        <f t="shared" ref="AM136" si="263">AL141</f>
        <v>63881.280500272209</v>
      </c>
      <c r="AN136" s="46">
        <f t="shared" ref="AN136" si="264">AM141</f>
        <v>63529.587156516536</v>
      </c>
      <c r="AO136" s="46">
        <f t="shared" ref="AO136" si="265">AN141</f>
        <v>63185.220757422445</v>
      </c>
      <c r="AP136" s="46">
        <f t="shared" ref="AP136" si="266">AO141</f>
        <v>62848.028658309478</v>
      </c>
      <c r="AQ136" s="46">
        <f t="shared" ref="AQ136" si="267">AP141</f>
        <v>62517.8613945947</v>
      </c>
      <c r="AR136" s="46">
        <f t="shared" ref="AR136" si="268">AQ141</f>
        <v>62194.572615540645</v>
      </c>
      <c r="AS136" s="46">
        <f t="shared" ref="AS136" si="269">AR141</f>
        <v>61878.019019383544</v>
      </c>
      <c r="AT136" s="46">
        <f t="shared" ref="AT136" si="270">AS141</f>
        <v>61568.060289813053</v>
      </c>
      <c r="AU136" s="46">
        <f t="shared" ref="AU136" si="271">AT141</f>
        <v>61264.55903377528</v>
      </c>
      <c r="AV136" s="46">
        <f t="shared" ref="AV136" si="272">AU141</f>
        <v>60967.380720571629</v>
      </c>
      <c r="AW136" s="46">
        <f t="shared" ref="AW136" si="273">AV141</f>
        <v>60676.393622226387</v>
      </c>
      <c r="AX136" s="46">
        <f t="shared" ref="AX136" si="274">AW141</f>
        <v>60391.46875509667</v>
      </c>
      <c r="AY136" s="46">
        <f t="shared" ref="AY136" si="275">AX141</f>
        <v>59133.313156032156</v>
      </c>
    </row>
    <row r="137" spans="1:51" s="45" customFormat="1" ht="13" x14ac:dyDescent="0.3">
      <c r="A137" s="45" t="str">
        <f>A82</f>
        <v>Cashstream 2: Capital Costs</v>
      </c>
      <c r="B137" s="45" t="str">
        <f>B82</f>
        <v>$ Real</v>
      </c>
      <c r="C137" s="42">
        <f>SUM(D137:AY137)</f>
        <v>123000</v>
      </c>
      <c r="D137" s="46">
        <f>D82</f>
        <v>0</v>
      </c>
      <c r="E137" s="46">
        <f>E82</f>
        <v>10000</v>
      </c>
      <c r="F137" s="46">
        <f>F82</f>
        <v>18000</v>
      </c>
      <c r="G137" s="46">
        <f>G82</f>
        <v>26000</v>
      </c>
      <c r="H137" s="46">
        <f>H82</f>
        <v>12000</v>
      </c>
      <c r="I137" s="46">
        <f>I82</f>
        <v>18000</v>
      </c>
      <c r="J137" s="46">
        <f>J82</f>
        <v>0</v>
      </c>
      <c r="K137" s="46">
        <f>K82</f>
        <v>1000</v>
      </c>
      <c r="L137" s="46">
        <f>L82</f>
        <v>1000</v>
      </c>
      <c r="M137" s="46">
        <f>M82</f>
        <v>1000</v>
      </c>
      <c r="N137" s="46">
        <f>N82</f>
        <v>1000</v>
      </c>
      <c r="O137" s="46">
        <f>O82</f>
        <v>1000</v>
      </c>
      <c r="P137" s="46">
        <f>P82</f>
        <v>1000</v>
      </c>
      <c r="Q137" s="46">
        <f>Q82</f>
        <v>1000</v>
      </c>
      <c r="R137" s="46">
        <f>R82</f>
        <v>1000</v>
      </c>
      <c r="S137" s="46">
        <f>S82</f>
        <v>1000</v>
      </c>
      <c r="T137" s="46">
        <f>T82</f>
        <v>1000</v>
      </c>
      <c r="U137" s="46">
        <f>U82</f>
        <v>1000</v>
      </c>
      <c r="V137" s="46">
        <f>V82</f>
        <v>1000</v>
      </c>
      <c r="W137" s="46">
        <f>W82</f>
        <v>1000</v>
      </c>
      <c r="X137" s="46">
        <f>X82</f>
        <v>1000</v>
      </c>
      <c r="Y137" s="46">
        <f>Y82</f>
        <v>1000</v>
      </c>
      <c r="Z137" s="46">
        <f>Z82</f>
        <v>1000</v>
      </c>
      <c r="AA137" s="46">
        <f>AA82</f>
        <v>1000</v>
      </c>
      <c r="AB137" s="46">
        <f>AB82</f>
        <v>1000</v>
      </c>
      <c r="AC137" s="46">
        <f>AC82</f>
        <v>1000</v>
      </c>
      <c r="AD137" s="46">
        <f>AD82</f>
        <v>1000</v>
      </c>
      <c r="AE137" s="46">
        <f>AE82</f>
        <v>1000</v>
      </c>
      <c r="AF137" s="46">
        <f>AF82</f>
        <v>1000</v>
      </c>
      <c r="AG137" s="46">
        <f>AG82</f>
        <v>1000</v>
      </c>
      <c r="AH137" s="46">
        <f>AH82</f>
        <v>1000</v>
      </c>
      <c r="AI137" s="46">
        <f>AI82</f>
        <v>1000</v>
      </c>
      <c r="AJ137" s="46">
        <f>AJ82</f>
        <v>1000</v>
      </c>
      <c r="AK137" s="46">
        <f>AK82</f>
        <v>1000</v>
      </c>
      <c r="AL137" s="46">
        <f>AL82</f>
        <v>1000</v>
      </c>
      <c r="AM137" s="46">
        <f>AM82</f>
        <v>1000</v>
      </c>
      <c r="AN137" s="46">
        <f>AN82</f>
        <v>1000</v>
      </c>
      <c r="AO137" s="46">
        <f>AO82</f>
        <v>1000</v>
      </c>
      <c r="AP137" s="46">
        <f>AP82</f>
        <v>1000</v>
      </c>
      <c r="AQ137" s="46">
        <f>AQ82</f>
        <v>1000</v>
      </c>
      <c r="AR137" s="46">
        <f>AR82</f>
        <v>1000</v>
      </c>
      <c r="AS137" s="46">
        <f>AS82</f>
        <v>1000</v>
      </c>
      <c r="AT137" s="46">
        <f>AT82</f>
        <v>1000</v>
      </c>
      <c r="AU137" s="46">
        <f>AU82</f>
        <v>1000</v>
      </c>
      <c r="AV137" s="46">
        <f>AV82</f>
        <v>1000</v>
      </c>
      <c r="AW137" s="46">
        <f>AW82</f>
        <v>1000</v>
      </c>
      <c r="AX137" s="46">
        <f>AX82</f>
        <v>0</v>
      </c>
      <c r="AY137" s="46">
        <f>AY82</f>
        <v>0</v>
      </c>
    </row>
    <row r="138" spans="1:51" s="45" customFormat="1" ht="13" x14ac:dyDescent="0.3">
      <c r="A138" s="45" t="s">
        <v>33</v>
      </c>
      <c r="B138" s="45" t="e">
        <f>#REF!</f>
        <v>#REF!</v>
      </c>
      <c r="C138" s="46"/>
      <c r="D138" s="46">
        <f t="shared" ref="D138" si="276">D136+D137</f>
        <v>0</v>
      </c>
      <c r="E138" s="46">
        <f t="shared" ref="E138" si="277">E136+E137</f>
        <v>10000</v>
      </c>
      <c r="F138" s="46">
        <f t="shared" ref="F138" si="278">F136+F137</f>
        <v>27791.666666666664</v>
      </c>
      <c r="G138" s="46">
        <f t="shared" ref="G138" si="279">G136+G137</f>
        <v>53212.673611111109</v>
      </c>
      <c r="H138" s="46">
        <f t="shared" ref="H138" si="280">H136+H137</f>
        <v>64104.076244212964</v>
      </c>
      <c r="I138" s="46">
        <f t="shared" ref="I138" si="281">I136+I137</f>
        <v>80768.574655791861</v>
      </c>
      <c r="J138" s="46">
        <f t="shared" ref="J138" si="282">J136+J137</f>
        <v>79085.896017129533</v>
      </c>
      <c r="K138" s="46">
        <f t="shared" ref="K138" si="283">K136+K137</f>
        <v>78438.273183439334</v>
      </c>
      <c r="L138" s="46">
        <f t="shared" ref="L138" si="284">L136+L137</f>
        <v>77804.14249211768</v>
      </c>
      <c r="M138" s="46">
        <f t="shared" ref="M138" si="285">M136+M137</f>
        <v>77183.222856865235</v>
      </c>
      <c r="N138" s="46">
        <f t="shared" ref="N138" si="286">N136+N137</f>
        <v>76575.239047347204</v>
      </c>
      <c r="O138" s="46">
        <f t="shared" ref="O138" si="287">O136+O137</f>
        <v>75979.921567194135</v>
      </c>
      <c r="P138" s="46">
        <f t="shared" ref="P138" si="288">P136+P137</f>
        <v>75397.006534544256</v>
      </c>
      <c r="Q138" s="46">
        <f t="shared" ref="Q138" si="289">Q136+Q137</f>
        <v>74826.235565074589</v>
      </c>
      <c r="R138" s="46">
        <f t="shared" ref="R138" si="290">R136+R137</f>
        <v>74267.35565746887</v>
      </c>
      <c r="S138" s="46">
        <f t="shared" ref="S138" si="291">S136+S137</f>
        <v>73720.119081271609</v>
      </c>
      <c r="T138" s="46">
        <f t="shared" ref="T138" si="292">T136+T137</f>
        <v>73184.283267078456</v>
      </c>
      <c r="U138" s="46">
        <f t="shared" ref="U138" si="293">U136+U137</f>
        <v>72659.610699014316</v>
      </c>
      <c r="V138" s="46">
        <f t="shared" ref="V138" si="294">V136+V137</f>
        <v>72145.868809451524</v>
      </c>
      <c r="W138" s="46">
        <f t="shared" ref="W138" si="295">W136+W137</f>
        <v>71642.829875921278</v>
      </c>
      <c r="X138" s="46">
        <f t="shared" ref="X138" si="296">X136+X137</f>
        <v>71150.270920172916</v>
      </c>
      <c r="Y138" s="46">
        <f t="shared" ref="Y138" si="297">Y136+Y137</f>
        <v>70667.973609335982</v>
      </c>
      <c r="Z138" s="46">
        <f t="shared" ref="Z138" si="298">Z136+Z137</f>
        <v>70195.724159141479</v>
      </c>
      <c r="AA138" s="46">
        <f t="shared" ref="AA138" si="299">AA136+AA137</f>
        <v>69733.313239159368</v>
      </c>
      <c r="AB138" s="46">
        <f t="shared" ref="AB138" si="300">AB136+AB137</f>
        <v>69280.535880010211</v>
      </c>
      <c r="AC138" s="46">
        <f t="shared" ref="AC138" si="301">AC136+AC137</f>
        <v>68837.191382510005</v>
      </c>
      <c r="AD138" s="46">
        <f t="shared" ref="AD138" si="302">AD136+AD137</f>
        <v>68403.083228707721</v>
      </c>
      <c r="AE138" s="46">
        <f t="shared" ref="AE138" si="303">AE136+AE137</f>
        <v>67978.018994776314</v>
      </c>
      <c r="AF138" s="46">
        <f t="shared" ref="AF138" si="304">AF136+AF137</f>
        <v>67561.810265718479</v>
      </c>
      <c r="AG138" s="46">
        <f t="shared" ref="AG138" si="305">AG136+AG137</f>
        <v>67154.272551849339</v>
      </c>
      <c r="AH138" s="46">
        <f t="shared" ref="AH138" si="306">AH136+AH137</f>
        <v>66755.225207019146</v>
      </c>
      <c r="AI138" s="46">
        <f t="shared" ref="AI138" si="307">AI136+AI137</f>
        <v>66364.491348539581</v>
      </c>
      <c r="AJ138" s="46">
        <f t="shared" ref="AJ138:AY138" si="308">AJ136+AJ137</f>
        <v>65981.897778778337</v>
      </c>
      <c r="AK138" s="46">
        <f t="shared" si="308"/>
        <v>65607.274908387131</v>
      </c>
      <c r="AL138" s="46">
        <f t="shared" si="308"/>
        <v>65240.456681129064</v>
      </c>
      <c r="AM138" s="46">
        <f t="shared" si="308"/>
        <v>64881.280500272209</v>
      </c>
      <c r="AN138" s="46">
        <f t="shared" si="308"/>
        <v>64529.587156516536</v>
      </c>
      <c r="AO138" s="46">
        <f t="shared" si="308"/>
        <v>64185.220757422445</v>
      </c>
      <c r="AP138" s="46">
        <f t="shared" si="308"/>
        <v>63848.028658309478</v>
      </c>
      <c r="AQ138" s="46">
        <f t="shared" si="308"/>
        <v>63517.8613945947</v>
      </c>
      <c r="AR138" s="46">
        <f t="shared" si="308"/>
        <v>63194.572615540645</v>
      </c>
      <c r="AS138" s="46">
        <f t="shared" si="308"/>
        <v>62878.019019383544</v>
      </c>
      <c r="AT138" s="46">
        <f t="shared" si="308"/>
        <v>62568.060289813053</v>
      </c>
      <c r="AU138" s="46">
        <f t="shared" si="308"/>
        <v>62264.55903377528</v>
      </c>
      <c r="AV138" s="46">
        <f t="shared" si="308"/>
        <v>61967.380720571629</v>
      </c>
      <c r="AW138" s="46">
        <f t="shared" si="308"/>
        <v>61676.393622226387</v>
      </c>
      <c r="AX138" s="46">
        <f t="shared" si="308"/>
        <v>60391.46875509667</v>
      </c>
      <c r="AY138" s="46">
        <f t="shared" si="308"/>
        <v>59133.313156032156</v>
      </c>
    </row>
    <row r="139" spans="1:51" s="139" customFormat="1" ht="13" x14ac:dyDescent="0.3">
      <c r="A139" s="152" t="s">
        <v>32</v>
      </c>
      <c r="B139" s="152" t="s">
        <v>30</v>
      </c>
      <c r="C139" s="153"/>
      <c r="D139" s="154">
        <f>25%^1/12</f>
        <v>2.0833333333333332E-2</v>
      </c>
      <c r="E139" s="154">
        <f t="shared" ref="E139:V139" si="309">D139</f>
        <v>2.0833333333333332E-2</v>
      </c>
      <c r="F139" s="154">
        <f t="shared" si="309"/>
        <v>2.0833333333333332E-2</v>
      </c>
      <c r="G139" s="154">
        <f t="shared" si="309"/>
        <v>2.0833333333333332E-2</v>
      </c>
      <c r="H139" s="154">
        <f t="shared" si="309"/>
        <v>2.0833333333333332E-2</v>
      </c>
      <c r="I139" s="154">
        <f t="shared" si="309"/>
        <v>2.0833333333333332E-2</v>
      </c>
      <c r="J139" s="154">
        <f t="shared" si="309"/>
        <v>2.0833333333333332E-2</v>
      </c>
      <c r="K139" s="154">
        <f t="shared" si="309"/>
        <v>2.0833333333333332E-2</v>
      </c>
      <c r="L139" s="154">
        <f t="shared" si="309"/>
        <v>2.0833333333333332E-2</v>
      </c>
      <c r="M139" s="154">
        <f t="shared" si="309"/>
        <v>2.0833333333333332E-2</v>
      </c>
      <c r="N139" s="154">
        <f t="shared" si="309"/>
        <v>2.0833333333333332E-2</v>
      </c>
      <c r="O139" s="154">
        <f t="shared" si="309"/>
        <v>2.0833333333333332E-2</v>
      </c>
      <c r="P139" s="154">
        <f t="shared" si="309"/>
        <v>2.0833333333333332E-2</v>
      </c>
      <c r="Q139" s="154">
        <f t="shared" si="309"/>
        <v>2.0833333333333332E-2</v>
      </c>
      <c r="R139" s="154">
        <f t="shared" si="309"/>
        <v>2.0833333333333332E-2</v>
      </c>
      <c r="S139" s="154">
        <f t="shared" si="309"/>
        <v>2.0833333333333332E-2</v>
      </c>
      <c r="T139" s="154">
        <f t="shared" si="309"/>
        <v>2.0833333333333332E-2</v>
      </c>
      <c r="U139" s="154">
        <f t="shared" si="309"/>
        <v>2.0833333333333332E-2</v>
      </c>
      <c r="V139" s="154">
        <f t="shared" si="309"/>
        <v>2.0833333333333332E-2</v>
      </c>
      <c r="W139" s="154">
        <f t="shared" ref="W139" si="310">V139</f>
        <v>2.0833333333333332E-2</v>
      </c>
      <c r="X139" s="154">
        <f t="shared" ref="X139" si="311">W139</f>
        <v>2.0833333333333332E-2</v>
      </c>
      <c r="Y139" s="154">
        <f t="shared" ref="Y139" si="312">X139</f>
        <v>2.0833333333333332E-2</v>
      </c>
      <c r="Z139" s="154">
        <f t="shared" ref="Z139" si="313">Y139</f>
        <v>2.0833333333333332E-2</v>
      </c>
      <c r="AA139" s="154">
        <f t="shared" ref="AA139" si="314">Z139</f>
        <v>2.0833333333333332E-2</v>
      </c>
      <c r="AB139" s="154">
        <f t="shared" ref="AB139" si="315">AA139</f>
        <v>2.0833333333333332E-2</v>
      </c>
      <c r="AC139" s="154">
        <f t="shared" ref="AC139" si="316">AB139</f>
        <v>2.0833333333333332E-2</v>
      </c>
      <c r="AD139" s="154">
        <f t="shared" ref="AD139" si="317">AC139</f>
        <v>2.0833333333333332E-2</v>
      </c>
      <c r="AE139" s="154">
        <f t="shared" ref="AE139" si="318">AD139</f>
        <v>2.0833333333333332E-2</v>
      </c>
      <c r="AF139" s="154">
        <f t="shared" ref="AF139" si="319">AE139</f>
        <v>2.0833333333333332E-2</v>
      </c>
      <c r="AG139" s="154">
        <f t="shared" ref="AG139" si="320">AF139</f>
        <v>2.0833333333333332E-2</v>
      </c>
      <c r="AH139" s="154">
        <f t="shared" ref="AH139" si="321">AG139</f>
        <v>2.0833333333333332E-2</v>
      </c>
      <c r="AI139" s="154">
        <f t="shared" ref="AI139" si="322">AH139</f>
        <v>2.0833333333333332E-2</v>
      </c>
      <c r="AJ139" s="154">
        <f t="shared" ref="AJ139" si="323">AI139</f>
        <v>2.0833333333333332E-2</v>
      </c>
      <c r="AK139" s="154">
        <f t="shared" ref="AK139" si="324">AJ139</f>
        <v>2.0833333333333332E-2</v>
      </c>
      <c r="AL139" s="154">
        <f t="shared" ref="AL139" si="325">AK139</f>
        <v>2.0833333333333332E-2</v>
      </c>
      <c r="AM139" s="154">
        <f t="shared" ref="AM139" si="326">AL139</f>
        <v>2.0833333333333332E-2</v>
      </c>
      <c r="AN139" s="154">
        <f t="shared" ref="AN139" si="327">AM139</f>
        <v>2.0833333333333332E-2</v>
      </c>
      <c r="AO139" s="154">
        <f t="shared" ref="AO139" si="328">AN139</f>
        <v>2.0833333333333332E-2</v>
      </c>
      <c r="AP139" s="154">
        <f t="shared" ref="AP139" si="329">AO139</f>
        <v>2.0833333333333332E-2</v>
      </c>
      <c r="AQ139" s="154">
        <f t="shared" ref="AQ139" si="330">AP139</f>
        <v>2.0833333333333332E-2</v>
      </c>
      <c r="AR139" s="154">
        <f t="shared" ref="AR139" si="331">AQ139</f>
        <v>2.0833333333333332E-2</v>
      </c>
      <c r="AS139" s="154">
        <f t="shared" ref="AS139" si="332">AR139</f>
        <v>2.0833333333333332E-2</v>
      </c>
      <c r="AT139" s="154">
        <f t="shared" ref="AT139" si="333">AS139</f>
        <v>2.0833333333333332E-2</v>
      </c>
      <c r="AU139" s="154">
        <f t="shared" ref="AU139" si="334">AT139</f>
        <v>2.0833333333333332E-2</v>
      </c>
      <c r="AV139" s="154">
        <f t="shared" ref="AV139" si="335">AU139</f>
        <v>2.0833333333333332E-2</v>
      </c>
      <c r="AW139" s="154">
        <f t="shared" ref="AW139" si="336">AV139</f>
        <v>2.0833333333333332E-2</v>
      </c>
      <c r="AX139" s="154">
        <f t="shared" ref="AX139" si="337">AW139</f>
        <v>2.0833333333333332E-2</v>
      </c>
      <c r="AY139" s="154">
        <f t="shared" ref="AY139" si="338">AX139</f>
        <v>2.0833333333333332E-2</v>
      </c>
    </row>
    <row r="140" spans="1:51" s="45" customFormat="1" ht="13" x14ac:dyDescent="0.3">
      <c r="A140" s="43" t="s">
        <v>68</v>
      </c>
      <c r="B140" s="55" t="s">
        <v>44</v>
      </c>
      <c r="C140" s="42">
        <f>SUM(D140:AY140)</f>
        <v>65098.630868051878</v>
      </c>
      <c r="D140" s="42">
        <f t="shared" ref="D140:V140" si="339">D139*D138</f>
        <v>0</v>
      </c>
      <c r="E140" s="42">
        <f t="shared" si="339"/>
        <v>208.33333333333331</v>
      </c>
      <c r="F140" s="42">
        <f t="shared" si="339"/>
        <v>578.99305555555543</v>
      </c>
      <c r="G140" s="42">
        <f t="shared" si="339"/>
        <v>1108.597366898148</v>
      </c>
      <c r="H140" s="42">
        <f t="shared" si="339"/>
        <v>1335.5015884211034</v>
      </c>
      <c r="I140" s="42">
        <f t="shared" si="339"/>
        <v>1682.6786386623303</v>
      </c>
      <c r="J140" s="42">
        <f t="shared" si="339"/>
        <v>1647.6228336901986</v>
      </c>
      <c r="K140" s="42">
        <f t="shared" si="339"/>
        <v>1634.1306913216526</v>
      </c>
      <c r="L140" s="42">
        <f t="shared" si="339"/>
        <v>1620.9196352524516</v>
      </c>
      <c r="M140" s="42">
        <f t="shared" si="339"/>
        <v>1607.9838095180257</v>
      </c>
      <c r="N140" s="42">
        <f t="shared" si="339"/>
        <v>1595.3174801530668</v>
      </c>
      <c r="O140" s="42">
        <f t="shared" si="339"/>
        <v>1582.9150326498777</v>
      </c>
      <c r="P140" s="42">
        <f t="shared" si="339"/>
        <v>1570.7709694696719</v>
      </c>
      <c r="Q140" s="42">
        <f t="shared" si="339"/>
        <v>1558.8799076057205</v>
      </c>
      <c r="R140" s="42">
        <f t="shared" si="339"/>
        <v>1547.2365761972681</v>
      </c>
      <c r="S140" s="42">
        <f t="shared" si="339"/>
        <v>1535.8358141931585</v>
      </c>
      <c r="T140" s="42">
        <f t="shared" si="339"/>
        <v>1524.6725680641343</v>
      </c>
      <c r="U140" s="42">
        <f t="shared" si="339"/>
        <v>1513.7418895627982</v>
      </c>
      <c r="V140" s="42">
        <f t="shared" si="339"/>
        <v>1503.03893353024</v>
      </c>
      <c r="W140" s="42">
        <f t="shared" ref="W140" si="340">W139*W138</f>
        <v>1492.5589557483599</v>
      </c>
      <c r="X140" s="42">
        <f t="shared" ref="X140" si="341">X139*X138</f>
        <v>1482.2973108369356</v>
      </c>
      <c r="Y140" s="42">
        <f t="shared" ref="Y140" si="342">Y139*Y138</f>
        <v>1472.2494501944996</v>
      </c>
      <c r="Z140" s="42">
        <f t="shared" ref="Z140" si="343">Z139*Z138</f>
        <v>1462.4109199821141</v>
      </c>
      <c r="AA140" s="42">
        <f t="shared" ref="AA140" si="344">AA139*AA138</f>
        <v>1452.7773591491534</v>
      </c>
      <c r="AB140" s="42">
        <f t="shared" ref="AB140" si="345">AB139*AB138</f>
        <v>1443.3444975002126</v>
      </c>
      <c r="AC140" s="42">
        <f t="shared" ref="AC140" si="346">AC139*AC138</f>
        <v>1434.1081538022918</v>
      </c>
      <c r="AD140" s="42">
        <f t="shared" ref="AD140" si="347">AD139*AD138</f>
        <v>1425.0642339314109</v>
      </c>
      <c r="AE140" s="42">
        <f t="shared" ref="AE140" si="348">AE139*AE138</f>
        <v>1416.2087290578397</v>
      </c>
      <c r="AF140" s="42">
        <f t="shared" ref="AF140" si="349">AF139*AF138</f>
        <v>1407.5377138691349</v>
      </c>
      <c r="AG140" s="42">
        <f t="shared" ref="AG140" si="350">AG139*AG138</f>
        <v>1399.0473448301946</v>
      </c>
      <c r="AH140" s="42">
        <f t="shared" ref="AH140" si="351">AH139*AH138</f>
        <v>1390.7338584795655</v>
      </c>
      <c r="AI140" s="42">
        <f t="shared" ref="AI140" si="352">AI139*AI138</f>
        <v>1382.5935697612413</v>
      </c>
      <c r="AJ140" s="42">
        <f t="shared" ref="AJ140:AY140" si="353">AJ139*AJ138</f>
        <v>1374.6228703912152</v>
      </c>
      <c r="AK140" s="42">
        <f t="shared" si="353"/>
        <v>1366.8182272580652</v>
      </c>
      <c r="AL140" s="42">
        <f t="shared" si="353"/>
        <v>1359.1761808568554</v>
      </c>
      <c r="AM140" s="42">
        <f t="shared" si="353"/>
        <v>1351.6933437556709</v>
      </c>
      <c r="AN140" s="42">
        <f t="shared" si="353"/>
        <v>1344.3663990940945</v>
      </c>
      <c r="AO140" s="42">
        <f t="shared" si="353"/>
        <v>1337.1920991129675</v>
      </c>
      <c r="AP140" s="42">
        <f t="shared" si="353"/>
        <v>1330.1672637147808</v>
      </c>
      <c r="AQ140" s="42">
        <f t="shared" si="353"/>
        <v>1323.2887790540562</v>
      </c>
      <c r="AR140" s="42">
        <f t="shared" si="353"/>
        <v>1316.5535961570968</v>
      </c>
      <c r="AS140" s="42">
        <f t="shared" si="353"/>
        <v>1309.9587295704905</v>
      </c>
      <c r="AT140" s="42">
        <f t="shared" si="353"/>
        <v>1303.5012560377718</v>
      </c>
      <c r="AU140" s="42">
        <f t="shared" si="353"/>
        <v>1297.1783132036517</v>
      </c>
      <c r="AV140" s="42">
        <f t="shared" si="353"/>
        <v>1290.9870983452422</v>
      </c>
      <c r="AW140" s="42">
        <f t="shared" si="353"/>
        <v>1284.9248671297164</v>
      </c>
      <c r="AX140" s="42">
        <f t="shared" si="353"/>
        <v>1258.1555990645138</v>
      </c>
      <c r="AY140" s="42">
        <f t="shared" si="353"/>
        <v>1231.9440240840031</v>
      </c>
    </row>
    <row r="141" spans="1:51" s="7" customFormat="1" ht="13" x14ac:dyDescent="0.3">
      <c r="A141" s="55" t="s">
        <v>66</v>
      </c>
      <c r="B141" s="55" t="s">
        <v>44</v>
      </c>
      <c r="C141" s="42"/>
      <c r="D141" s="46">
        <f t="shared" ref="D141:V141" si="354">D138-D140</f>
        <v>0</v>
      </c>
      <c r="E141" s="46">
        <f t="shared" si="354"/>
        <v>9791.6666666666661</v>
      </c>
      <c r="F141" s="46">
        <f t="shared" si="354"/>
        <v>27212.673611111109</v>
      </c>
      <c r="G141" s="46">
        <f t="shared" si="354"/>
        <v>52104.076244212964</v>
      </c>
      <c r="H141" s="46">
        <f t="shared" si="354"/>
        <v>62768.574655791861</v>
      </c>
      <c r="I141" s="46">
        <f t="shared" si="354"/>
        <v>79085.896017129533</v>
      </c>
      <c r="J141" s="46">
        <f t="shared" si="354"/>
        <v>77438.273183439334</v>
      </c>
      <c r="K141" s="46">
        <f t="shared" si="354"/>
        <v>76804.14249211768</v>
      </c>
      <c r="L141" s="46">
        <f t="shared" si="354"/>
        <v>76183.222856865235</v>
      </c>
      <c r="M141" s="46">
        <f t="shared" si="354"/>
        <v>75575.239047347204</v>
      </c>
      <c r="N141" s="46">
        <f t="shared" si="354"/>
        <v>74979.921567194135</v>
      </c>
      <c r="O141" s="46">
        <f t="shared" si="354"/>
        <v>74397.006534544256</v>
      </c>
      <c r="P141" s="46">
        <f t="shared" si="354"/>
        <v>73826.235565074589</v>
      </c>
      <c r="Q141" s="46">
        <f t="shared" si="354"/>
        <v>73267.35565746887</v>
      </c>
      <c r="R141" s="46">
        <f t="shared" si="354"/>
        <v>72720.119081271609</v>
      </c>
      <c r="S141" s="46">
        <f t="shared" si="354"/>
        <v>72184.283267078456</v>
      </c>
      <c r="T141" s="46">
        <f t="shared" si="354"/>
        <v>71659.610699014316</v>
      </c>
      <c r="U141" s="46">
        <f t="shared" si="354"/>
        <v>71145.868809451524</v>
      </c>
      <c r="V141" s="46">
        <f t="shared" si="354"/>
        <v>70642.829875921278</v>
      </c>
      <c r="W141" s="46">
        <f t="shared" ref="W141" si="355">W138-W140</f>
        <v>70150.270920172916</v>
      </c>
      <c r="X141" s="46">
        <f t="shared" ref="X141" si="356">X138-X140</f>
        <v>69667.973609335982</v>
      </c>
      <c r="Y141" s="46">
        <f t="shared" ref="Y141" si="357">Y138-Y140</f>
        <v>69195.724159141479</v>
      </c>
      <c r="Z141" s="46">
        <f t="shared" ref="Z141" si="358">Z138-Z140</f>
        <v>68733.313239159368</v>
      </c>
      <c r="AA141" s="46">
        <f t="shared" ref="AA141" si="359">AA138-AA140</f>
        <v>68280.535880010211</v>
      </c>
      <c r="AB141" s="46">
        <f t="shared" ref="AB141" si="360">AB138-AB140</f>
        <v>67837.191382510005</v>
      </c>
      <c r="AC141" s="46">
        <f t="shared" ref="AC141" si="361">AC138-AC140</f>
        <v>67403.083228707721</v>
      </c>
      <c r="AD141" s="46">
        <f t="shared" ref="AD141" si="362">AD138-AD140</f>
        <v>66978.018994776314</v>
      </c>
      <c r="AE141" s="46">
        <f t="shared" ref="AE141" si="363">AE138-AE140</f>
        <v>66561.810265718479</v>
      </c>
      <c r="AF141" s="46">
        <f t="shared" ref="AF141" si="364">AF138-AF140</f>
        <v>66154.272551849339</v>
      </c>
      <c r="AG141" s="46">
        <f t="shared" ref="AG141" si="365">AG138-AG140</f>
        <v>65755.225207019146</v>
      </c>
      <c r="AH141" s="46">
        <f t="shared" ref="AH141" si="366">AH138-AH140</f>
        <v>65364.491348539581</v>
      </c>
      <c r="AI141" s="46">
        <f t="shared" ref="AI141" si="367">AI138-AI140</f>
        <v>64981.897778778337</v>
      </c>
      <c r="AJ141" s="46">
        <f t="shared" ref="AJ141:AY141" si="368">AJ138-AJ140</f>
        <v>64607.274908387124</v>
      </c>
      <c r="AK141" s="46">
        <f t="shared" si="368"/>
        <v>64240.456681129064</v>
      </c>
      <c r="AL141" s="46">
        <f t="shared" si="368"/>
        <v>63881.280500272209</v>
      </c>
      <c r="AM141" s="46">
        <f t="shared" si="368"/>
        <v>63529.587156516536</v>
      </c>
      <c r="AN141" s="46">
        <f t="shared" si="368"/>
        <v>63185.220757422445</v>
      </c>
      <c r="AO141" s="46">
        <f t="shared" si="368"/>
        <v>62848.028658309478</v>
      </c>
      <c r="AP141" s="46">
        <f t="shared" si="368"/>
        <v>62517.8613945947</v>
      </c>
      <c r="AQ141" s="46">
        <f t="shared" si="368"/>
        <v>62194.572615540645</v>
      </c>
      <c r="AR141" s="46">
        <f t="shared" si="368"/>
        <v>61878.019019383544</v>
      </c>
      <c r="AS141" s="46">
        <f t="shared" si="368"/>
        <v>61568.060289813053</v>
      </c>
      <c r="AT141" s="46">
        <f t="shared" si="368"/>
        <v>61264.55903377528</v>
      </c>
      <c r="AU141" s="46">
        <f t="shared" si="368"/>
        <v>60967.380720571629</v>
      </c>
      <c r="AV141" s="46">
        <f t="shared" si="368"/>
        <v>60676.393622226387</v>
      </c>
      <c r="AW141" s="46">
        <f t="shared" si="368"/>
        <v>60391.46875509667</v>
      </c>
      <c r="AX141" s="46">
        <f t="shared" si="368"/>
        <v>59133.313156032156</v>
      </c>
      <c r="AY141" s="46">
        <f t="shared" si="368"/>
        <v>57901.369131948151</v>
      </c>
    </row>
    <row r="142" spans="1:51" s="7" customFormat="1" ht="15.75" customHeight="1" x14ac:dyDescent="0.3">
      <c r="A142" s="81" t="s">
        <v>23</v>
      </c>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row>
    <row r="143" spans="1:51" s="45" customFormat="1" ht="13" x14ac:dyDescent="0.3">
      <c r="A143" s="45" t="str">
        <f>A72</f>
        <v>Cashstream 1: Revenue</v>
      </c>
      <c r="B143" s="45" t="str">
        <f>B72</f>
        <v>$ Real</v>
      </c>
      <c r="C143" s="46">
        <f>SUM(D143:AY143)</f>
        <v>628038.80298200692</v>
      </c>
      <c r="D143" s="46">
        <f>D72</f>
        <v>0</v>
      </c>
      <c r="E143" s="46">
        <f>E72</f>
        <v>0</v>
      </c>
      <c r="F143" s="46">
        <f>F72</f>
        <v>0</v>
      </c>
      <c r="G143" s="46">
        <f>G72</f>
        <v>0</v>
      </c>
      <c r="H143" s="46">
        <f>H72</f>
        <v>0</v>
      </c>
      <c r="I143" s="46">
        <f>I72</f>
        <v>0</v>
      </c>
      <c r="J143" s="46">
        <f>J72</f>
        <v>13500</v>
      </c>
      <c r="K143" s="46">
        <f>K72</f>
        <v>13566.824999999999</v>
      </c>
      <c r="L143" s="46">
        <f>L72</f>
        <v>13633.980783749999</v>
      </c>
      <c r="M143" s="46">
        <f>M72</f>
        <v>13701.468988629562</v>
      </c>
      <c r="N143" s="46">
        <f>N72</f>
        <v>13769.291260123278</v>
      </c>
      <c r="O143" s="46">
        <f>O72</f>
        <v>13837.449251860889</v>
      </c>
      <c r="P143" s="46">
        <f>P72</f>
        <v>13905.944625657601</v>
      </c>
      <c r="Q143" s="46">
        <f>Q72</f>
        <v>13974.779051554606</v>
      </c>
      <c r="R143" s="46">
        <f>R72</f>
        <v>14043.954207859802</v>
      </c>
      <c r="S143" s="46">
        <f>S72</f>
        <v>14113.471781188708</v>
      </c>
      <c r="T143" s="46">
        <f>T72</f>
        <v>14183.33346650559</v>
      </c>
      <c r="U143" s="46">
        <f>U72</f>
        <v>14253.540967164794</v>
      </c>
      <c r="V143" s="46">
        <f>V72</f>
        <v>14324.095994952257</v>
      </c>
      <c r="W143" s="46">
        <f>W72</f>
        <v>14395.000270127272</v>
      </c>
      <c r="X143" s="46">
        <f>X72</f>
        <v>14466.255521464402</v>
      </c>
      <c r="Y143" s="46">
        <f>Y72</f>
        <v>14537.863486295651</v>
      </c>
      <c r="Z143" s="46">
        <f>Z72</f>
        <v>14609.825910552814</v>
      </c>
      <c r="AA143" s="46">
        <f>AA72</f>
        <v>14682.144548810051</v>
      </c>
      <c r="AB143" s="46">
        <f>AB72</f>
        <v>14754.821164326662</v>
      </c>
      <c r="AC143" s="46">
        <f>AC72</f>
        <v>14827.857529090081</v>
      </c>
      <c r="AD143" s="46">
        <f>AD72</f>
        <v>14901.255423859076</v>
      </c>
      <c r="AE143" s="46">
        <f>AE72</f>
        <v>14975.01663820718</v>
      </c>
      <c r="AF143" s="46">
        <f>AF72</f>
        <v>15049.142970566305</v>
      </c>
      <c r="AG143" s="46">
        <f>AG72</f>
        <v>15123.636228270607</v>
      </c>
      <c r="AH143" s="46">
        <f>AH72</f>
        <v>15198.498227600547</v>
      </c>
      <c r="AI143" s="46">
        <f>AI72</f>
        <v>15273.73079382717</v>
      </c>
      <c r="AJ143" s="46">
        <f>AJ72</f>
        <v>15349.335761256614</v>
      </c>
      <c r="AK143" s="46">
        <f>AK72</f>
        <v>15425.314973274835</v>
      </c>
      <c r="AL143" s="46">
        <f>AL72</f>
        <v>15501.670282392544</v>
      </c>
      <c r="AM143" s="46">
        <f>AM72</f>
        <v>15578.403550290386</v>
      </c>
      <c r="AN143" s="46">
        <f>AN72</f>
        <v>15655.516647864322</v>
      </c>
      <c r="AO143" s="46">
        <f>AO72</f>
        <v>15733.011455271255</v>
      </c>
      <c r="AP143" s="46">
        <f>AP72</f>
        <v>15810.889861974847</v>
      </c>
      <c r="AQ143" s="46">
        <f>AQ72</f>
        <v>15889.153766791622</v>
      </c>
      <c r="AR143" s="46">
        <f>AR72</f>
        <v>15967.805077937241</v>
      </c>
      <c r="AS143" s="46">
        <f>AS72</f>
        <v>16046.845713073029</v>
      </c>
      <c r="AT143" s="46">
        <f>AT72</f>
        <v>16126.277599352743</v>
      </c>
      <c r="AU143" s="46">
        <f>AU72</f>
        <v>16206.102673469539</v>
      </c>
      <c r="AV143" s="46">
        <f>AV72</f>
        <v>16286.322881703212</v>
      </c>
      <c r="AW143" s="46">
        <f>AW72</f>
        <v>16286.322881703212</v>
      </c>
      <c r="AX143" s="46">
        <f>AX72</f>
        <v>16286.322881703212</v>
      </c>
      <c r="AY143" s="46">
        <f>AY72</f>
        <v>16286.322881703212</v>
      </c>
    </row>
    <row r="144" spans="1:51" s="45" customFormat="1" ht="14.25" customHeight="1" x14ac:dyDescent="0.3">
      <c r="A144" s="45" t="s">
        <v>11</v>
      </c>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row>
    <row r="145" spans="1:51" s="45" customFormat="1" ht="13" x14ac:dyDescent="0.3">
      <c r="A145" s="45" t="str">
        <f>A100</f>
        <v>variable cost of production</v>
      </c>
      <c r="B145" s="45" t="str">
        <f>B100</f>
        <v>$ Real</v>
      </c>
      <c r="C145" s="53">
        <f>SUM(D145:AY145)</f>
        <v>200684.24697910249</v>
      </c>
      <c r="D145" s="53">
        <f>D100</f>
        <v>0</v>
      </c>
      <c r="E145" s="53">
        <f>E100</f>
        <v>0</v>
      </c>
      <c r="F145" s="53">
        <f>F100</f>
        <v>0</v>
      </c>
      <c r="G145" s="53">
        <f>G100</f>
        <v>0</v>
      </c>
      <c r="H145" s="53">
        <f>H100</f>
        <v>0</v>
      </c>
      <c r="I145" s="53">
        <f>I100</f>
        <v>0</v>
      </c>
      <c r="J145" s="53">
        <f>J100</f>
        <v>3913</v>
      </c>
      <c r="K145" s="53">
        <f>K100</f>
        <v>3952.13</v>
      </c>
      <c r="L145" s="53">
        <f>L100</f>
        <v>3991.6513</v>
      </c>
      <c r="M145" s="53">
        <f>M100</f>
        <v>4031.5678130000006</v>
      </c>
      <c r="N145" s="53">
        <f>N100</f>
        <v>4071.88349113</v>
      </c>
      <c r="O145" s="53">
        <f>O100</f>
        <v>4112.6023260413003</v>
      </c>
      <c r="P145" s="53">
        <f>P100</f>
        <v>4153.728349301713</v>
      </c>
      <c r="Q145" s="53">
        <f>Q100</f>
        <v>4195.2656327947298</v>
      </c>
      <c r="R145" s="53">
        <f>R100</f>
        <v>4237.2182891226776</v>
      </c>
      <c r="S145" s="53">
        <f>S100</f>
        <v>4279.5904720139042</v>
      </c>
      <c r="T145" s="53">
        <f>T100</f>
        <v>4322.3863767340426</v>
      </c>
      <c r="U145" s="53">
        <f>U100</f>
        <v>4365.6102405013835</v>
      </c>
      <c r="V145" s="53">
        <f>V100</f>
        <v>4409.2663429063969</v>
      </c>
      <c r="W145" s="53">
        <f>W100</f>
        <v>4453.3590063354613</v>
      </c>
      <c r="X145" s="53">
        <f>X100</f>
        <v>4497.8925963988158</v>
      </c>
      <c r="Y145" s="53">
        <f>Y100</f>
        <v>4542.8715223628051</v>
      </c>
      <c r="Z145" s="53">
        <f>Z100</f>
        <v>4588.3002375864326</v>
      </c>
      <c r="AA145" s="53">
        <f>AA100</f>
        <v>4634.1832399622972</v>
      </c>
      <c r="AB145" s="53">
        <f>AB100</f>
        <v>4680.5250723619201</v>
      </c>
      <c r="AC145" s="53">
        <f>AC100</f>
        <v>4727.3303230855399</v>
      </c>
      <c r="AD145" s="53">
        <f>AD100</f>
        <v>4774.6036263163951</v>
      </c>
      <c r="AE145" s="53">
        <f>AE100</f>
        <v>4822.3496625795597</v>
      </c>
      <c r="AF145" s="53">
        <f>AF100</f>
        <v>4870.5731592053544</v>
      </c>
      <c r="AG145" s="53">
        <f>AG100</f>
        <v>4919.2788907974082</v>
      </c>
      <c r="AH145" s="53">
        <f>AH100</f>
        <v>4968.4716797053825</v>
      </c>
      <c r="AI145" s="53">
        <f>AI100</f>
        <v>5018.1563965024361</v>
      </c>
      <c r="AJ145" s="53">
        <f>AJ100</f>
        <v>5068.3379604674601</v>
      </c>
      <c r="AK145" s="53">
        <f>AK100</f>
        <v>5119.021340072135</v>
      </c>
      <c r="AL145" s="53">
        <f>AL100</f>
        <v>5170.2115534728555</v>
      </c>
      <c r="AM145" s="53">
        <f>AM100</f>
        <v>5221.9136690075848</v>
      </c>
      <c r="AN145" s="53">
        <f>AN100</f>
        <v>5274.1328056976608</v>
      </c>
      <c r="AO145" s="53">
        <f>AO100</f>
        <v>5326.874133754638</v>
      </c>
      <c r="AP145" s="53">
        <f>AP100</f>
        <v>5380.142875092185</v>
      </c>
      <c r="AQ145" s="53">
        <f>AQ100</f>
        <v>5433.9443038431064</v>
      </c>
      <c r="AR145" s="53">
        <f>AR100</f>
        <v>5488.2837468815378</v>
      </c>
      <c r="AS145" s="53">
        <f>AS100</f>
        <v>5543.1665843503524</v>
      </c>
      <c r="AT145" s="53">
        <f>AT100</f>
        <v>5598.5982501938561</v>
      </c>
      <c r="AU145" s="53">
        <f>AU100</f>
        <v>5654.5842326957954</v>
      </c>
      <c r="AV145" s="53">
        <f>AV100</f>
        <v>5692.1562209529102</v>
      </c>
      <c r="AW145" s="53">
        <f>AW100</f>
        <v>5692.1562209529102</v>
      </c>
      <c r="AX145" s="53">
        <f>AX100</f>
        <v>5692.1562209529102</v>
      </c>
      <c r="AY145" s="53">
        <f>AY100</f>
        <v>3794.7708139686069</v>
      </c>
    </row>
    <row r="146" spans="1:51" s="45" customFormat="1" ht="13" x14ac:dyDescent="0.3">
      <c r="A146" s="45" t="str">
        <f>A110</f>
        <v>fixed costs</v>
      </c>
      <c r="B146" s="45" t="str">
        <f>B110</f>
        <v>$ Real</v>
      </c>
      <c r="C146" s="53">
        <f>SUM(D146:AY146)</f>
        <v>58080</v>
      </c>
      <c r="D146" s="53">
        <f>D110</f>
        <v>1210</v>
      </c>
      <c r="E146" s="53">
        <f>E110</f>
        <v>1210</v>
      </c>
      <c r="F146" s="53">
        <f>F110</f>
        <v>1210</v>
      </c>
      <c r="G146" s="53">
        <f>G110</f>
        <v>1210</v>
      </c>
      <c r="H146" s="53">
        <f>H110</f>
        <v>1210</v>
      </c>
      <c r="I146" s="53">
        <f>I110</f>
        <v>1210</v>
      </c>
      <c r="J146" s="53">
        <f>J110</f>
        <v>1210</v>
      </c>
      <c r="K146" s="53">
        <f>K110</f>
        <v>1210</v>
      </c>
      <c r="L146" s="53">
        <f>L110</f>
        <v>1210</v>
      </c>
      <c r="M146" s="53">
        <f>M110</f>
        <v>1210</v>
      </c>
      <c r="N146" s="53">
        <f>N110</f>
        <v>1210</v>
      </c>
      <c r="O146" s="53">
        <f>O110</f>
        <v>1210</v>
      </c>
      <c r="P146" s="53">
        <f>P110</f>
        <v>1210</v>
      </c>
      <c r="Q146" s="53">
        <f>Q110</f>
        <v>1210</v>
      </c>
      <c r="R146" s="53">
        <f>R110</f>
        <v>1210</v>
      </c>
      <c r="S146" s="53">
        <f>S110</f>
        <v>1210</v>
      </c>
      <c r="T146" s="53">
        <f>T110</f>
        <v>1210</v>
      </c>
      <c r="U146" s="53">
        <f>U110</f>
        <v>1210</v>
      </c>
      <c r="V146" s="53">
        <f>V110</f>
        <v>1210</v>
      </c>
      <c r="W146" s="53">
        <f>W110</f>
        <v>1210</v>
      </c>
      <c r="X146" s="53">
        <f>X110</f>
        <v>1210</v>
      </c>
      <c r="Y146" s="53">
        <f>Y110</f>
        <v>1210</v>
      </c>
      <c r="Z146" s="53">
        <f>Z110</f>
        <v>1210</v>
      </c>
      <c r="AA146" s="53">
        <f>AA110</f>
        <v>1210</v>
      </c>
      <c r="AB146" s="53">
        <f>AB110</f>
        <v>1210</v>
      </c>
      <c r="AC146" s="53">
        <f>AC110</f>
        <v>1210</v>
      </c>
      <c r="AD146" s="53">
        <f>AD110</f>
        <v>1210</v>
      </c>
      <c r="AE146" s="53">
        <f>AE110</f>
        <v>1210</v>
      </c>
      <c r="AF146" s="53">
        <f>AF110</f>
        <v>1210</v>
      </c>
      <c r="AG146" s="53">
        <f>AG110</f>
        <v>1210</v>
      </c>
      <c r="AH146" s="53">
        <f>AH110</f>
        <v>1210</v>
      </c>
      <c r="AI146" s="53">
        <f>AI110</f>
        <v>1210</v>
      </c>
      <c r="AJ146" s="53">
        <f>AJ110</f>
        <v>1210</v>
      </c>
      <c r="AK146" s="53">
        <f>AK110</f>
        <v>1210</v>
      </c>
      <c r="AL146" s="53">
        <f>AL110</f>
        <v>1210</v>
      </c>
      <c r="AM146" s="53">
        <f>AM110</f>
        <v>1210</v>
      </c>
      <c r="AN146" s="53">
        <f>AN110</f>
        <v>1210</v>
      </c>
      <c r="AO146" s="53">
        <f>AO110</f>
        <v>1210</v>
      </c>
      <c r="AP146" s="53">
        <f>AP110</f>
        <v>1210</v>
      </c>
      <c r="AQ146" s="53">
        <f>AQ110</f>
        <v>1210</v>
      </c>
      <c r="AR146" s="53">
        <f>AR110</f>
        <v>1210</v>
      </c>
      <c r="AS146" s="53">
        <f>AS110</f>
        <v>1210</v>
      </c>
      <c r="AT146" s="53">
        <f>AT110</f>
        <v>1210</v>
      </c>
      <c r="AU146" s="53">
        <f>AU110</f>
        <v>1210</v>
      </c>
      <c r="AV146" s="53">
        <f>AV110</f>
        <v>1210</v>
      </c>
      <c r="AW146" s="53">
        <f>AW110</f>
        <v>1210</v>
      </c>
      <c r="AX146" s="53">
        <f>AX110</f>
        <v>1210</v>
      </c>
      <c r="AY146" s="53">
        <f>AY110</f>
        <v>1210</v>
      </c>
    </row>
    <row r="147" spans="1:51" s="45" customFormat="1" ht="13" x14ac:dyDescent="0.3">
      <c r="A147" s="45" t="str">
        <f>A140</f>
        <v>Tax deductions for capital expenditure</v>
      </c>
      <c r="B147" s="45" t="str">
        <f>B140</f>
        <v>$ Real</v>
      </c>
      <c r="C147" s="53">
        <f>SUM(D147:AY147)</f>
        <v>65098.630868051878</v>
      </c>
      <c r="D147" s="53">
        <f t="shared" ref="D147:AY147" si="369">D140</f>
        <v>0</v>
      </c>
      <c r="E147" s="53">
        <f t="shared" si="369"/>
        <v>208.33333333333331</v>
      </c>
      <c r="F147" s="53">
        <f t="shared" si="369"/>
        <v>578.99305555555543</v>
      </c>
      <c r="G147" s="53">
        <f t="shared" si="369"/>
        <v>1108.597366898148</v>
      </c>
      <c r="H147" s="53">
        <f t="shared" si="369"/>
        <v>1335.5015884211034</v>
      </c>
      <c r="I147" s="53">
        <f t="shared" si="369"/>
        <v>1682.6786386623303</v>
      </c>
      <c r="J147" s="53">
        <f t="shared" si="369"/>
        <v>1647.6228336901986</v>
      </c>
      <c r="K147" s="53">
        <f t="shared" si="369"/>
        <v>1634.1306913216526</v>
      </c>
      <c r="L147" s="53">
        <f t="shared" si="369"/>
        <v>1620.9196352524516</v>
      </c>
      <c r="M147" s="53">
        <f t="shared" si="369"/>
        <v>1607.9838095180257</v>
      </c>
      <c r="N147" s="53">
        <f t="shared" si="369"/>
        <v>1595.3174801530668</v>
      </c>
      <c r="O147" s="53">
        <f t="shared" si="369"/>
        <v>1582.9150326498777</v>
      </c>
      <c r="P147" s="53">
        <f t="shared" si="369"/>
        <v>1570.7709694696719</v>
      </c>
      <c r="Q147" s="53">
        <f t="shared" si="369"/>
        <v>1558.8799076057205</v>
      </c>
      <c r="R147" s="53">
        <f t="shared" si="369"/>
        <v>1547.2365761972681</v>
      </c>
      <c r="S147" s="53">
        <f t="shared" si="369"/>
        <v>1535.8358141931585</v>
      </c>
      <c r="T147" s="53">
        <f t="shared" si="369"/>
        <v>1524.6725680641343</v>
      </c>
      <c r="U147" s="53">
        <f t="shared" si="369"/>
        <v>1513.7418895627982</v>
      </c>
      <c r="V147" s="53">
        <f t="shared" si="369"/>
        <v>1503.03893353024</v>
      </c>
      <c r="W147" s="53">
        <f t="shared" si="369"/>
        <v>1492.5589557483599</v>
      </c>
      <c r="X147" s="53">
        <f t="shared" si="369"/>
        <v>1482.2973108369356</v>
      </c>
      <c r="Y147" s="53">
        <f t="shared" si="369"/>
        <v>1472.2494501944996</v>
      </c>
      <c r="Z147" s="53">
        <f t="shared" si="369"/>
        <v>1462.4109199821141</v>
      </c>
      <c r="AA147" s="53">
        <f t="shared" si="369"/>
        <v>1452.7773591491534</v>
      </c>
      <c r="AB147" s="53">
        <f t="shared" si="369"/>
        <v>1443.3444975002126</v>
      </c>
      <c r="AC147" s="53">
        <f t="shared" si="369"/>
        <v>1434.1081538022918</v>
      </c>
      <c r="AD147" s="53">
        <f t="shared" si="369"/>
        <v>1425.0642339314109</v>
      </c>
      <c r="AE147" s="53">
        <f t="shared" si="369"/>
        <v>1416.2087290578397</v>
      </c>
      <c r="AF147" s="53">
        <f t="shared" si="369"/>
        <v>1407.5377138691349</v>
      </c>
      <c r="AG147" s="53">
        <f t="shared" si="369"/>
        <v>1399.0473448301946</v>
      </c>
      <c r="AH147" s="53">
        <f t="shared" si="369"/>
        <v>1390.7338584795655</v>
      </c>
      <c r="AI147" s="53">
        <f t="shared" si="369"/>
        <v>1382.5935697612413</v>
      </c>
      <c r="AJ147" s="53">
        <f t="shared" si="369"/>
        <v>1374.6228703912152</v>
      </c>
      <c r="AK147" s="53">
        <f t="shared" si="369"/>
        <v>1366.8182272580652</v>
      </c>
      <c r="AL147" s="53">
        <f t="shared" si="369"/>
        <v>1359.1761808568554</v>
      </c>
      <c r="AM147" s="53">
        <f t="shared" si="369"/>
        <v>1351.6933437556709</v>
      </c>
      <c r="AN147" s="53">
        <f t="shared" si="369"/>
        <v>1344.3663990940945</v>
      </c>
      <c r="AO147" s="53">
        <f t="shared" si="369"/>
        <v>1337.1920991129675</v>
      </c>
      <c r="AP147" s="53">
        <f t="shared" si="369"/>
        <v>1330.1672637147808</v>
      </c>
      <c r="AQ147" s="53">
        <f t="shared" si="369"/>
        <v>1323.2887790540562</v>
      </c>
      <c r="AR147" s="53">
        <f t="shared" si="369"/>
        <v>1316.5535961570968</v>
      </c>
      <c r="AS147" s="53">
        <f t="shared" si="369"/>
        <v>1309.9587295704905</v>
      </c>
      <c r="AT147" s="53">
        <f t="shared" si="369"/>
        <v>1303.5012560377718</v>
      </c>
      <c r="AU147" s="53">
        <f t="shared" si="369"/>
        <v>1297.1783132036517</v>
      </c>
      <c r="AV147" s="53">
        <f t="shared" si="369"/>
        <v>1290.9870983452422</v>
      </c>
      <c r="AW147" s="53">
        <f t="shared" si="369"/>
        <v>1284.9248671297164</v>
      </c>
      <c r="AX147" s="53">
        <f t="shared" si="369"/>
        <v>1258.1555990645138</v>
      </c>
      <c r="AY147" s="53">
        <f t="shared" si="369"/>
        <v>1231.9440240840031</v>
      </c>
    </row>
    <row r="148" spans="1:51" s="45" customFormat="1" ht="13" x14ac:dyDescent="0.3">
      <c r="A148" s="45" t="str">
        <f>A130</f>
        <v>VAT - net paid/(net refunded)</v>
      </c>
      <c r="B148" s="45" t="str">
        <f>B130</f>
        <v>$ Real</v>
      </c>
      <c r="C148" s="53">
        <f>SUM(D148:AY148)</f>
        <v>22388.596000264035</v>
      </c>
      <c r="D148" s="53">
        <f>D130</f>
        <v>-110.00000000000004</v>
      </c>
      <c r="E148" s="53">
        <f>E130</f>
        <v>-1019.0909090909095</v>
      </c>
      <c r="F148" s="53">
        <f>F130</f>
        <v>-1746.3636363636369</v>
      </c>
      <c r="G148" s="53">
        <f>G130</f>
        <v>-2473.6363636363644</v>
      </c>
      <c r="H148" s="53">
        <f>H130</f>
        <v>-1200.9090909090912</v>
      </c>
      <c r="I148" s="53">
        <f>I130</f>
        <v>-1746.3636363636369</v>
      </c>
      <c r="J148" s="53">
        <f>J130</f>
        <v>761.54545454545485</v>
      </c>
      <c r="K148" s="53">
        <f>K130</f>
        <v>673.154090909091</v>
      </c>
      <c r="L148" s="53">
        <f>L130</f>
        <v>675.66631670454558</v>
      </c>
      <c r="M148" s="53">
        <f>M130</f>
        <v>678.1728341481421</v>
      </c>
      <c r="N148" s="53">
        <f>N130</f>
        <v>680.67343354484376</v>
      </c>
      <c r="O148" s="53">
        <f>O130</f>
        <v>683.16790234723555</v>
      </c>
      <c r="P148" s="53">
        <f>P130</f>
        <v>685.65602512326279</v>
      </c>
      <c r="Q148" s="53">
        <f>Q130</f>
        <v>688.13758352362527</v>
      </c>
      <c r="R148" s="53">
        <f>R130</f>
        <v>690.61235624882966</v>
      </c>
      <c r="S148" s="53">
        <f>S130</f>
        <v>693.08011901589146</v>
      </c>
      <c r="T148" s="53">
        <f>T130</f>
        <v>695.54064452468629</v>
      </c>
      <c r="U148" s="53">
        <f>U130</f>
        <v>697.99370242394662</v>
      </c>
      <c r="V148" s="53">
        <f>V130</f>
        <v>700.4390592768965</v>
      </c>
      <c r="W148" s="53">
        <f>W130</f>
        <v>702.87647852652833</v>
      </c>
      <c r="X148" s="53">
        <f>X130</f>
        <v>705.30572046050804</v>
      </c>
      <c r="Y148" s="53">
        <f>Y130</f>
        <v>707.72654217571346</v>
      </c>
      <c r="Z148" s="53">
        <f>Z130</f>
        <v>710.13869754239863</v>
      </c>
      <c r="AA148" s="53">
        <f>AA130</f>
        <v>712.54193716797795</v>
      </c>
      <c r="AB148" s="53">
        <f>AB130</f>
        <v>714.9360083604314</v>
      </c>
      <c r="AC148" s="53">
        <f>AC130</f>
        <v>717.32065509132212</v>
      </c>
      <c r="AD148" s="53">
        <f>AD130</f>
        <v>719.69561795842594</v>
      </c>
      <c r="AE148" s="53">
        <f>AE130</f>
        <v>722.06063414796574</v>
      </c>
      <c r="AF148" s="53">
        <f>AF130</f>
        <v>724.41543739645033</v>
      </c>
      <c r="AG148" s="53">
        <f>AG130</f>
        <v>726.75975795210911</v>
      </c>
      <c r="AH148" s="53">
        <f>AH130</f>
        <v>729.09332253592436</v>
      </c>
      <c r="AI148" s="53">
        <f>AI130</f>
        <v>731.4158543022487</v>
      </c>
      <c r="AJ148" s="53">
        <f>AJ130</f>
        <v>733.72707279901419</v>
      </c>
      <c r="AK148" s="53">
        <f>AK130</f>
        <v>736.02669392751841</v>
      </c>
      <c r="AL148" s="53">
        <f>AL130</f>
        <v>738.31442990179016</v>
      </c>
      <c r="AM148" s="53">
        <f>AM130</f>
        <v>740.58998920752776</v>
      </c>
      <c r="AN148" s="53">
        <f>AN130</f>
        <v>742.8530765606057</v>
      </c>
      <c r="AO148" s="53">
        <f>AO130</f>
        <v>745.10339286514727</v>
      </c>
      <c r="AP148" s="53">
        <f>AP130</f>
        <v>747.34063517115135</v>
      </c>
      <c r="AQ148" s="53">
        <f>AQ130</f>
        <v>749.5644966316836</v>
      </c>
      <c r="AR148" s="53">
        <f>AR130</f>
        <v>751.77466645960953</v>
      </c>
      <c r="AS148" s="53">
        <f>AS130</f>
        <v>753.97082988388001</v>
      </c>
      <c r="AT148" s="53">
        <f>AT130</f>
        <v>756.15266810535354</v>
      </c>
      <c r="AU148" s="53">
        <f>AU130</f>
        <v>758.31985825215884</v>
      </c>
      <c r="AV148" s="53">
        <f>AV130</f>
        <v>762.19696915911868</v>
      </c>
      <c r="AW148" s="53">
        <f>AW130</f>
        <v>762.19696915911868</v>
      </c>
      <c r="AX148" s="53">
        <f>AX130</f>
        <v>853.10606006820956</v>
      </c>
      <c r="AY148" s="53">
        <f>AY130</f>
        <v>1025.595642521328</v>
      </c>
    </row>
    <row r="149" spans="1:51" s="45" customFormat="1" ht="13" x14ac:dyDescent="0.3">
      <c r="A149" s="43" t="s">
        <v>23</v>
      </c>
      <c r="B149" s="45" t="str">
        <f>B141</f>
        <v>$ Real</v>
      </c>
      <c r="C149" s="53">
        <f>SUM(D149:AY149)</f>
        <v>281787.32913458842</v>
      </c>
      <c r="D149" s="61">
        <f>D143-SUM(D145:D148)</f>
        <v>-1100</v>
      </c>
      <c r="E149" s="61">
        <f t="shared" ref="E149:AY149" si="370">E143-SUM(E145:E148)</f>
        <v>-399.24242424242379</v>
      </c>
      <c r="F149" s="61">
        <f t="shared" si="370"/>
        <v>-42.629419191918487</v>
      </c>
      <c r="G149" s="61">
        <f t="shared" si="370"/>
        <v>155.03899673821661</v>
      </c>
      <c r="H149" s="61">
        <f t="shared" si="370"/>
        <v>-1344.5924975120122</v>
      </c>
      <c r="I149" s="61">
        <f t="shared" si="370"/>
        <v>-1146.3150022986933</v>
      </c>
      <c r="J149" s="61">
        <f t="shared" si="370"/>
        <v>5967.8317117643464</v>
      </c>
      <c r="K149" s="61">
        <f t="shared" si="370"/>
        <v>6097.4102177692548</v>
      </c>
      <c r="L149" s="61">
        <f>L143-SUM(L145:L148)</f>
        <v>6135.7435317930031</v>
      </c>
      <c r="M149" s="61">
        <f t="shared" si="370"/>
        <v>6173.7445319633935</v>
      </c>
      <c r="N149" s="61">
        <f t="shared" si="370"/>
        <v>6211.4168552953679</v>
      </c>
      <c r="O149" s="61">
        <f t="shared" si="370"/>
        <v>6248.7639908224764</v>
      </c>
      <c r="P149" s="61">
        <f t="shared" si="370"/>
        <v>6285.7892817629536</v>
      </c>
      <c r="Q149" s="61">
        <f t="shared" si="370"/>
        <v>6322.4959276305308</v>
      </c>
      <c r="R149" s="61">
        <f t="shared" si="370"/>
        <v>6358.8869862910269</v>
      </c>
      <c r="S149" s="61">
        <f t="shared" si="370"/>
        <v>6394.9653759657531</v>
      </c>
      <c r="T149" s="61">
        <f t="shared" si="370"/>
        <v>6430.7338771827272</v>
      </c>
      <c r="U149" s="61">
        <f t="shared" si="370"/>
        <v>6466.1951346766655</v>
      </c>
      <c r="V149" s="61">
        <f t="shared" si="370"/>
        <v>6501.3516592387232</v>
      </c>
      <c r="W149" s="61">
        <f t="shared" si="370"/>
        <v>6536.2058295169218</v>
      </c>
      <c r="X149" s="61">
        <f t="shared" si="370"/>
        <v>6570.7598937681414</v>
      </c>
      <c r="Y149" s="61">
        <f t="shared" si="370"/>
        <v>6605.0159715626332</v>
      </c>
      <c r="Z149" s="61">
        <f t="shared" si="370"/>
        <v>6638.976055441869</v>
      </c>
      <c r="AA149" s="61">
        <f t="shared" si="370"/>
        <v>6672.6420125306222</v>
      </c>
      <c r="AB149" s="61">
        <f t="shared" si="370"/>
        <v>6706.0155861040985</v>
      </c>
      <c r="AC149" s="61">
        <f t="shared" si="370"/>
        <v>6739.0983971109272</v>
      </c>
      <c r="AD149" s="61">
        <f t="shared" si="370"/>
        <v>6771.8919456528447</v>
      </c>
      <c r="AE149" s="61">
        <f t="shared" si="370"/>
        <v>6804.3976124218143</v>
      </c>
      <c r="AF149" s="61">
        <f t="shared" si="370"/>
        <v>6836.6166600953657</v>
      </c>
      <c r="AG149" s="61">
        <f t="shared" si="370"/>
        <v>6868.5502346908943</v>
      </c>
      <c r="AH149" s="61">
        <f t="shared" si="370"/>
        <v>6900.1993668796749</v>
      </c>
      <c r="AI149" s="61">
        <f t="shared" si="370"/>
        <v>6931.5649732612437</v>
      </c>
      <c r="AJ149" s="61">
        <f t="shared" si="370"/>
        <v>6962.647857598924</v>
      </c>
      <c r="AK149" s="61">
        <f t="shared" si="370"/>
        <v>6993.4487120171161</v>
      </c>
      <c r="AL149" s="61">
        <f t="shared" si="370"/>
        <v>7023.9681181610431</v>
      </c>
      <c r="AM149" s="61">
        <f t="shared" si="370"/>
        <v>7054.206548319602</v>
      </c>
      <c r="AN149" s="61">
        <f t="shared" si="370"/>
        <v>7084.1643665119609</v>
      </c>
      <c r="AO149" s="61">
        <f t="shared" si="370"/>
        <v>7113.8418295385018</v>
      </c>
      <c r="AP149" s="61">
        <f t="shared" si="370"/>
        <v>7143.2390879967297</v>
      </c>
      <c r="AQ149" s="61">
        <f t="shared" si="370"/>
        <v>7172.3561872627761</v>
      </c>
      <c r="AR149" s="61">
        <f t="shared" si="370"/>
        <v>7201.1930684389972</v>
      </c>
      <c r="AS149" s="61">
        <f t="shared" si="370"/>
        <v>7229.749569268306</v>
      </c>
      <c r="AT149" s="61">
        <f t="shared" si="370"/>
        <v>7258.0254250157614</v>
      </c>
      <c r="AU149" s="61">
        <f t="shared" si="370"/>
        <v>7286.0202693179326</v>
      </c>
      <c r="AV149" s="61">
        <f t="shared" si="370"/>
        <v>7330.9825932459407</v>
      </c>
      <c r="AW149" s="61">
        <f t="shared" si="370"/>
        <v>7337.0448244614672</v>
      </c>
      <c r="AX149" s="61">
        <f t="shared" si="370"/>
        <v>7272.9050016175788</v>
      </c>
      <c r="AY149" s="61">
        <f t="shared" si="370"/>
        <v>9024.0124011292737</v>
      </c>
    </row>
    <row r="150" spans="1:51" s="7" customFormat="1" ht="13" x14ac:dyDescent="0.3">
      <c r="A150" s="81" t="s">
        <v>34</v>
      </c>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row>
    <row r="151" spans="1:51" s="55" customFormat="1" ht="13" x14ac:dyDescent="0.3">
      <c r="A151" s="14" t="s">
        <v>174</v>
      </c>
      <c r="C151" s="155"/>
      <c r="D151" s="155"/>
      <c r="E151" s="155"/>
      <c r="F151" s="155"/>
      <c r="G151" s="155"/>
      <c r="H151" s="155"/>
      <c r="I151" s="155"/>
      <c r="J151" s="155"/>
      <c r="K151" s="155"/>
      <c r="L151" s="155"/>
      <c r="M151" s="155"/>
      <c r="N151" s="155"/>
      <c r="O151" s="155"/>
      <c r="P151" s="155"/>
      <c r="Q151" s="155"/>
      <c r="R151" s="155"/>
      <c r="S151" s="155"/>
      <c r="T151" s="155"/>
      <c r="U151" s="155"/>
      <c r="V151" s="155"/>
      <c r="W151" s="155"/>
      <c r="X151" s="155"/>
      <c r="Y151" s="155"/>
      <c r="Z151" s="155"/>
      <c r="AA151" s="155"/>
      <c r="AB151" s="155"/>
      <c r="AC151" s="155"/>
      <c r="AD151" s="155"/>
      <c r="AE151" s="155"/>
      <c r="AF151" s="155"/>
      <c r="AG151" s="155"/>
      <c r="AH151" s="155"/>
      <c r="AI151" s="155"/>
      <c r="AJ151" s="155"/>
      <c r="AK151" s="155"/>
      <c r="AL151" s="155"/>
      <c r="AM151" s="155"/>
      <c r="AN151" s="155"/>
      <c r="AO151" s="155"/>
      <c r="AP151" s="155"/>
      <c r="AQ151" s="155"/>
      <c r="AR151" s="155"/>
      <c r="AS151" s="155"/>
      <c r="AT151" s="155"/>
      <c r="AU151" s="155"/>
      <c r="AV151" s="155"/>
      <c r="AW151" s="155"/>
      <c r="AX151" s="155"/>
      <c r="AY151" s="155"/>
    </row>
    <row r="152" spans="1:51" s="45" customFormat="1" x14ac:dyDescent="0.35">
      <c r="A152" s="45" t="s">
        <v>27</v>
      </c>
      <c r="B152" s="45" t="s">
        <v>44</v>
      </c>
      <c r="C152" s="53"/>
      <c r="D152" s="157">
        <v>0</v>
      </c>
      <c r="E152" s="53">
        <f t="shared" ref="E152:V152" si="371">D157</f>
        <v>-1100</v>
      </c>
      <c r="F152" s="53">
        <f t="shared" si="371"/>
        <v>-1499.2424242424238</v>
      </c>
      <c r="G152" s="53">
        <f t="shared" si="371"/>
        <v>-1541.8718434343423</v>
      </c>
      <c r="H152" s="53">
        <f t="shared" si="371"/>
        <v>-1386.8328466961257</v>
      </c>
      <c r="I152" s="53">
        <f t="shared" si="371"/>
        <v>-2731.4253442081381</v>
      </c>
      <c r="J152" s="53">
        <f t="shared" si="371"/>
        <v>-3877.7403465068314</v>
      </c>
      <c r="K152" s="53">
        <f t="shared" si="371"/>
        <v>0</v>
      </c>
      <c r="L152" s="53">
        <f t="shared" si="371"/>
        <v>0</v>
      </c>
      <c r="M152" s="53">
        <f t="shared" si="371"/>
        <v>0</v>
      </c>
      <c r="N152" s="53">
        <f t="shared" si="371"/>
        <v>0</v>
      </c>
      <c r="O152" s="53">
        <f t="shared" si="371"/>
        <v>0</v>
      </c>
      <c r="P152" s="53">
        <f t="shared" si="371"/>
        <v>0</v>
      </c>
      <c r="Q152" s="53">
        <f t="shared" si="371"/>
        <v>0</v>
      </c>
      <c r="R152" s="53">
        <f t="shared" si="371"/>
        <v>0</v>
      </c>
      <c r="S152" s="53">
        <f t="shared" si="371"/>
        <v>0</v>
      </c>
      <c r="T152" s="53">
        <f t="shared" si="371"/>
        <v>0</v>
      </c>
      <c r="U152" s="53">
        <f t="shared" si="371"/>
        <v>0</v>
      </c>
      <c r="V152" s="53">
        <f t="shared" si="371"/>
        <v>0</v>
      </c>
      <c r="W152" s="53">
        <f t="shared" ref="W152" si="372">V157</f>
        <v>0</v>
      </c>
      <c r="X152" s="53">
        <f t="shared" ref="X152" si="373">W157</f>
        <v>0</v>
      </c>
      <c r="Y152" s="53">
        <f t="shared" ref="Y152" si="374">X157</f>
        <v>0</v>
      </c>
      <c r="Z152" s="53">
        <f t="shared" ref="Z152" si="375">Y157</f>
        <v>0</v>
      </c>
      <c r="AA152" s="53">
        <f t="shared" ref="AA152" si="376">Z157</f>
        <v>0</v>
      </c>
      <c r="AB152" s="53">
        <f t="shared" ref="AB152" si="377">AA157</f>
        <v>0</v>
      </c>
      <c r="AC152" s="53">
        <f t="shared" ref="AC152" si="378">AB157</f>
        <v>0</v>
      </c>
      <c r="AD152" s="53">
        <f t="shared" ref="AD152" si="379">AC157</f>
        <v>0</v>
      </c>
      <c r="AE152" s="53">
        <f t="shared" ref="AE152" si="380">AD157</f>
        <v>0</v>
      </c>
      <c r="AF152" s="53">
        <f t="shared" ref="AF152" si="381">AE157</f>
        <v>0</v>
      </c>
      <c r="AG152" s="53">
        <f t="shared" ref="AG152" si="382">AF157</f>
        <v>0</v>
      </c>
      <c r="AH152" s="53">
        <f t="shared" ref="AH152" si="383">AG157</f>
        <v>0</v>
      </c>
      <c r="AI152" s="53">
        <f t="shared" ref="AI152" si="384">AH157</f>
        <v>0</v>
      </c>
      <c r="AJ152" s="53">
        <f t="shared" ref="AJ152" si="385">AI157</f>
        <v>0</v>
      </c>
      <c r="AK152" s="53">
        <f t="shared" ref="AK152" si="386">AJ157</f>
        <v>0</v>
      </c>
      <c r="AL152" s="53">
        <f t="shared" ref="AL152" si="387">AK157</f>
        <v>0</v>
      </c>
      <c r="AM152" s="53">
        <f t="shared" ref="AM152" si="388">AL157</f>
        <v>0</v>
      </c>
      <c r="AN152" s="53">
        <f t="shared" ref="AN152" si="389">AM157</f>
        <v>0</v>
      </c>
      <c r="AO152" s="53">
        <f t="shared" ref="AO152" si="390">AN157</f>
        <v>0</v>
      </c>
      <c r="AP152" s="53">
        <f t="shared" ref="AP152" si="391">AO157</f>
        <v>0</v>
      </c>
      <c r="AQ152" s="53">
        <f t="shared" ref="AQ152" si="392">AP157</f>
        <v>0</v>
      </c>
      <c r="AR152" s="53">
        <f t="shared" ref="AR152" si="393">AQ157</f>
        <v>0</v>
      </c>
      <c r="AS152" s="53">
        <f t="shared" ref="AS152" si="394">AR157</f>
        <v>0</v>
      </c>
      <c r="AT152" s="53">
        <f t="shared" ref="AT152" si="395">AS157</f>
        <v>0</v>
      </c>
      <c r="AU152" s="53">
        <f t="shared" ref="AU152" si="396">AT157</f>
        <v>0</v>
      </c>
      <c r="AV152" s="53">
        <f t="shared" ref="AV152" si="397">AU157</f>
        <v>0</v>
      </c>
      <c r="AW152" s="53">
        <f t="shared" ref="AW152" si="398">AV157</f>
        <v>0</v>
      </c>
      <c r="AX152" s="53">
        <f t="shared" ref="AX152" si="399">AW157</f>
        <v>0</v>
      </c>
      <c r="AY152" s="53">
        <f t="shared" ref="AY152" si="400">AX157</f>
        <v>0</v>
      </c>
    </row>
    <row r="153" spans="1:51" s="45" customFormat="1" ht="13" x14ac:dyDescent="0.3">
      <c r="A153" s="45" t="str">
        <f>A149</f>
        <v>Assessable Income</v>
      </c>
      <c r="B153" s="45" t="str">
        <f>B149</f>
        <v>$ Real</v>
      </c>
      <c r="C153" s="53"/>
      <c r="D153" s="53">
        <f t="shared" ref="D153:V153" si="401">D149</f>
        <v>-1100</v>
      </c>
      <c r="E153" s="53">
        <f t="shared" si="401"/>
        <v>-399.24242424242379</v>
      </c>
      <c r="F153" s="53">
        <f t="shared" si="401"/>
        <v>-42.629419191918487</v>
      </c>
      <c r="G153" s="53">
        <f t="shared" si="401"/>
        <v>155.03899673821661</v>
      </c>
      <c r="H153" s="53">
        <f t="shared" si="401"/>
        <v>-1344.5924975120122</v>
      </c>
      <c r="I153" s="53">
        <f t="shared" si="401"/>
        <v>-1146.3150022986933</v>
      </c>
      <c r="J153" s="53">
        <f t="shared" si="401"/>
        <v>5967.8317117643464</v>
      </c>
      <c r="K153" s="53">
        <f t="shared" si="401"/>
        <v>6097.4102177692548</v>
      </c>
      <c r="L153" s="53">
        <f t="shared" si="401"/>
        <v>6135.7435317930031</v>
      </c>
      <c r="M153" s="53">
        <f t="shared" si="401"/>
        <v>6173.7445319633935</v>
      </c>
      <c r="N153" s="53">
        <f t="shared" si="401"/>
        <v>6211.4168552953679</v>
      </c>
      <c r="O153" s="53">
        <f t="shared" si="401"/>
        <v>6248.7639908224764</v>
      </c>
      <c r="P153" s="53">
        <f t="shared" si="401"/>
        <v>6285.7892817629536</v>
      </c>
      <c r="Q153" s="53">
        <f t="shared" si="401"/>
        <v>6322.4959276305308</v>
      </c>
      <c r="R153" s="53">
        <f t="shared" si="401"/>
        <v>6358.8869862910269</v>
      </c>
      <c r="S153" s="53">
        <f t="shared" si="401"/>
        <v>6394.9653759657531</v>
      </c>
      <c r="T153" s="53">
        <f t="shared" si="401"/>
        <v>6430.7338771827272</v>
      </c>
      <c r="U153" s="53">
        <f t="shared" si="401"/>
        <v>6466.1951346766655</v>
      </c>
      <c r="V153" s="53">
        <f t="shared" si="401"/>
        <v>6501.3516592387232</v>
      </c>
      <c r="W153" s="53">
        <f t="shared" ref="W153:AJ153" si="402">W149</f>
        <v>6536.2058295169218</v>
      </c>
      <c r="X153" s="53">
        <f t="shared" si="402"/>
        <v>6570.7598937681414</v>
      </c>
      <c r="Y153" s="53">
        <f t="shared" si="402"/>
        <v>6605.0159715626332</v>
      </c>
      <c r="Z153" s="53">
        <f t="shared" si="402"/>
        <v>6638.976055441869</v>
      </c>
      <c r="AA153" s="53">
        <f t="shared" si="402"/>
        <v>6672.6420125306222</v>
      </c>
      <c r="AB153" s="53">
        <f t="shared" si="402"/>
        <v>6706.0155861040985</v>
      </c>
      <c r="AC153" s="53">
        <f t="shared" si="402"/>
        <v>6739.0983971109272</v>
      </c>
      <c r="AD153" s="53">
        <f t="shared" si="402"/>
        <v>6771.8919456528447</v>
      </c>
      <c r="AE153" s="53">
        <f t="shared" si="402"/>
        <v>6804.3976124218143</v>
      </c>
      <c r="AF153" s="53">
        <f t="shared" si="402"/>
        <v>6836.6166600953657</v>
      </c>
      <c r="AG153" s="53">
        <f t="shared" si="402"/>
        <v>6868.5502346908943</v>
      </c>
      <c r="AH153" s="53">
        <f t="shared" si="402"/>
        <v>6900.1993668796749</v>
      </c>
      <c r="AI153" s="53">
        <f t="shared" si="402"/>
        <v>6931.5649732612437</v>
      </c>
      <c r="AJ153" s="53">
        <f t="shared" si="402"/>
        <v>6962.647857598924</v>
      </c>
      <c r="AK153" s="53">
        <f t="shared" ref="AK153:AY153" si="403">AK149</f>
        <v>6993.4487120171161</v>
      </c>
      <c r="AL153" s="53">
        <f t="shared" si="403"/>
        <v>7023.9681181610431</v>
      </c>
      <c r="AM153" s="53">
        <f t="shared" si="403"/>
        <v>7054.206548319602</v>
      </c>
      <c r="AN153" s="53">
        <f t="shared" si="403"/>
        <v>7084.1643665119609</v>
      </c>
      <c r="AO153" s="53">
        <f t="shared" si="403"/>
        <v>7113.8418295385018</v>
      </c>
      <c r="AP153" s="53">
        <f t="shared" si="403"/>
        <v>7143.2390879967297</v>
      </c>
      <c r="AQ153" s="53">
        <f t="shared" si="403"/>
        <v>7172.3561872627761</v>
      </c>
      <c r="AR153" s="53">
        <f t="shared" si="403"/>
        <v>7201.1930684389972</v>
      </c>
      <c r="AS153" s="53">
        <f t="shared" si="403"/>
        <v>7229.749569268306</v>
      </c>
      <c r="AT153" s="53">
        <f t="shared" si="403"/>
        <v>7258.0254250157614</v>
      </c>
      <c r="AU153" s="53">
        <f t="shared" si="403"/>
        <v>7286.0202693179326</v>
      </c>
      <c r="AV153" s="53">
        <f t="shared" si="403"/>
        <v>7330.9825932459407</v>
      </c>
      <c r="AW153" s="53">
        <f t="shared" si="403"/>
        <v>7337.0448244614672</v>
      </c>
      <c r="AX153" s="53">
        <f t="shared" si="403"/>
        <v>7272.9050016175788</v>
      </c>
      <c r="AY153" s="53">
        <f t="shared" si="403"/>
        <v>9024.0124011292737</v>
      </c>
    </row>
    <row r="154" spans="1:51" s="45" customFormat="1" ht="13" x14ac:dyDescent="0.3">
      <c r="A154" s="45" t="s">
        <v>35</v>
      </c>
      <c r="B154" s="45" t="s">
        <v>44</v>
      </c>
      <c r="C154" s="53"/>
      <c r="D154" s="61">
        <f t="shared" ref="D154:V154" si="404">D152+D153</f>
        <v>-1100</v>
      </c>
      <c r="E154" s="61">
        <f t="shared" si="404"/>
        <v>-1499.2424242424238</v>
      </c>
      <c r="F154" s="61">
        <f t="shared" si="404"/>
        <v>-1541.8718434343423</v>
      </c>
      <c r="G154" s="61">
        <f t="shared" si="404"/>
        <v>-1386.8328466961257</v>
      </c>
      <c r="H154" s="61">
        <f t="shared" si="404"/>
        <v>-2731.4253442081381</v>
      </c>
      <c r="I154" s="61">
        <f t="shared" si="404"/>
        <v>-3877.7403465068314</v>
      </c>
      <c r="J154" s="61">
        <f t="shared" si="404"/>
        <v>2090.091365257515</v>
      </c>
      <c r="K154" s="61">
        <f t="shared" si="404"/>
        <v>6097.4102177692548</v>
      </c>
      <c r="L154" s="61">
        <f t="shared" si="404"/>
        <v>6135.7435317930031</v>
      </c>
      <c r="M154" s="61">
        <f t="shared" si="404"/>
        <v>6173.7445319633935</v>
      </c>
      <c r="N154" s="61">
        <f t="shared" si="404"/>
        <v>6211.4168552953679</v>
      </c>
      <c r="O154" s="61">
        <f t="shared" si="404"/>
        <v>6248.7639908224764</v>
      </c>
      <c r="P154" s="61">
        <f t="shared" si="404"/>
        <v>6285.7892817629536</v>
      </c>
      <c r="Q154" s="61">
        <f t="shared" si="404"/>
        <v>6322.4959276305308</v>
      </c>
      <c r="R154" s="61">
        <f t="shared" si="404"/>
        <v>6358.8869862910269</v>
      </c>
      <c r="S154" s="61">
        <f t="shared" si="404"/>
        <v>6394.9653759657531</v>
      </c>
      <c r="T154" s="61">
        <f t="shared" si="404"/>
        <v>6430.7338771827272</v>
      </c>
      <c r="U154" s="61">
        <f t="shared" si="404"/>
        <v>6466.1951346766655</v>
      </c>
      <c r="V154" s="61">
        <f t="shared" si="404"/>
        <v>6501.3516592387232</v>
      </c>
      <c r="W154" s="61">
        <f t="shared" ref="W154" si="405">W152+W153</f>
        <v>6536.2058295169218</v>
      </c>
      <c r="X154" s="61">
        <f t="shared" ref="X154" si="406">X152+X153</f>
        <v>6570.7598937681414</v>
      </c>
      <c r="Y154" s="61">
        <f t="shared" ref="Y154" si="407">Y152+Y153</f>
        <v>6605.0159715626332</v>
      </c>
      <c r="Z154" s="61">
        <f t="shared" ref="Z154" si="408">Z152+Z153</f>
        <v>6638.976055441869</v>
      </c>
      <c r="AA154" s="61">
        <f t="shared" ref="AA154" si="409">AA152+AA153</f>
        <v>6672.6420125306222</v>
      </c>
      <c r="AB154" s="61">
        <f t="shared" ref="AB154" si="410">AB152+AB153</f>
        <v>6706.0155861040985</v>
      </c>
      <c r="AC154" s="61">
        <f t="shared" ref="AC154" si="411">AC152+AC153</f>
        <v>6739.0983971109272</v>
      </c>
      <c r="AD154" s="61">
        <f t="shared" ref="AD154" si="412">AD152+AD153</f>
        <v>6771.8919456528447</v>
      </c>
      <c r="AE154" s="61">
        <f t="shared" ref="AE154" si="413">AE152+AE153</f>
        <v>6804.3976124218143</v>
      </c>
      <c r="AF154" s="61">
        <f t="shared" ref="AF154" si="414">AF152+AF153</f>
        <v>6836.6166600953657</v>
      </c>
      <c r="AG154" s="61">
        <f t="shared" ref="AG154" si="415">AG152+AG153</f>
        <v>6868.5502346908943</v>
      </c>
      <c r="AH154" s="61">
        <f t="shared" ref="AH154" si="416">AH152+AH153</f>
        <v>6900.1993668796749</v>
      </c>
      <c r="AI154" s="61">
        <f t="shared" ref="AI154" si="417">AI152+AI153</f>
        <v>6931.5649732612437</v>
      </c>
      <c r="AJ154" s="61">
        <f t="shared" ref="AJ154:AY154" si="418">AJ152+AJ153</f>
        <v>6962.647857598924</v>
      </c>
      <c r="AK154" s="61">
        <f t="shared" si="418"/>
        <v>6993.4487120171161</v>
      </c>
      <c r="AL154" s="61">
        <f t="shared" si="418"/>
        <v>7023.9681181610431</v>
      </c>
      <c r="AM154" s="61">
        <f t="shared" si="418"/>
        <v>7054.206548319602</v>
      </c>
      <c r="AN154" s="61">
        <f t="shared" si="418"/>
        <v>7084.1643665119609</v>
      </c>
      <c r="AO154" s="61">
        <f t="shared" si="418"/>
        <v>7113.8418295385018</v>
      </c>
      <c r="AP154" s="61">
        <f t="shared" si="418"/>
        <v>7143.2390879967297</v>
      </c>
      <c r="AQ154" s="61">
        <f t="shared" si="418"/>
        <v>7172.3561872627761</v>
      </c>
      <c r="AR154" s="61">
        <f t="shared" si="418"/>
        <v>7201.1930684389972</v>
      </c>
      <c r="AS154" s="61">
        <f t="shared" si="418"/>
        <v>7229.749569268306</v>
      </c>
      <c r="AT154" s="61">
        <f t="shared" si="418"/>
        <v>7258.0254250157614</v>
      </c>
      <c r="AU154" s="61">
        <f t="shared" si="418"/>
        <v>7286.0202693179326</v>
      </c>
      <c r="AV154" s="61">
        <f t="shared" si="418"/>
        <v>7330.9825932459407</v>
      </c>
      <c r="AW154" s="61">
        <f t="shared" si="418"/>
        <v>7337.0448244614672</v>
      </c>
      <c r="AX154" s="61">
        <f t="shared" si="418"/>
        <v>7272.9050016175788</v>
      </c>
      <c r="AY154" s="61">
        <f t="shared" si="418"/>
        <v>9024.0124011292737</v>
      </c>
    </row>
    <row r="155" spans="1:51" s="139" customFormat="1" ht="13" x14ac:dyDescent="0.3">
      <c r="A155" s="152" t="s">
        <v>13</v>
      </c>
      <c r="B155" s="152" t="s">
        <v>14</v>
      </c>
      <c r="C155" s="156"/>
      <c r="D155" s="146">
        <v>0.25</v>
      </c>
      <c r="E155" s="146">
        <f t="shared" ref="E155:V155" si="419">D155</f>
        <v>0.25</v>
      </c>
      <c r="F155" s="146">
        <f t="shared" si="419"/>
        <v>0.25</v>
      </c>
      <c r="G155" s="146">
        <f t="shared" si="419"/>
        <v>0.25</v>
      </c>
      <c r="H155" s="146">
        <f t="shared" si="419"/>
        <v>0.25</v>
      </c>
      <c r="I155" s="146">
        <f t="shared" si="419"/>
        <v>0.25</v>
      </c>
      <c r="J155" s="146">
        <f t="shared" si="419"/>
        <v>0.25</v>
      </c>
      <c r="K155" s="146">
        <f t="shared" si="419"/>
        <v>0.25</v>
      </c>
      <c r="L155" s="146">
        <f t="shared" si="419"/>
        <v>0.25</v>
      </c>
      <c r="M155" s="146">
        <f t="shared" si="419"/>
        <v>0.25</v>
      </c>
      <c r="N155" s="146">
        <f t="shared" si="419"/>
        <v>0.25</v>
      </c>
      <c r="O155" s="146">
        <f t="shared" si="419"/>
        <v>0.25</v>
      </c>
      <c r="P155" s="146">
        <f t="shared" si="419"/>
        <v>0.25</v>
      </c>
      <c r="Q155" s="146">
        <f t="shared" si="419"/>
        <v>0.25</v>
      </c>
      <c r="R155" s="146">
        <f t="shared" si="419"/>
        <v>0.25</v>
      </c>
      <c r="S155" s="146">
        <f t="shared" si="419"/>
        <v>0.25</v>
      </c>
      <c r="T155" s="146">
        <f t="shared" si="419"/>
        <v>0.25</v>
      </c>
      <c r="U155" s="146">
        <f t="shared" si="419"/>
        <v>0.25</v>
      </c>
      <c r="V155" s="146">
        <f t="shared" si="419"/>
        <v>0.25</v>
      </c>
      <c r="W155" s="146">
        <f t="shared" ref="W155" si="420">V155</f>
        <v>0.25</v>
      </c>
      <c r="X155" s="146">
        <f t="shared" ref="X155" si="421">W155</f>
        <v>0.25</v>
      </c>
      <c r="Y155" s="146">
        <f t="shared" ref="Y155" si="422">X155</f>
        <v>0.25</v>
      </c>
      <c r="Z155" s="146">
        <f t="shared" ref="Z155" si="423">Y155</f>
        <v>0.25</v>
      </c>
      <c r="AA155" s="146">
        <f t="shared" ref="AA155" si="424">Z155</f>
        <v>0.25</v>
      </c>
      <c r="AB155" s="146">
        <f t="shared" ref="AB155" si="425">AA155</f>
        <v>0.25</v>
      </c>
      <c r="AC155" s="146">
        <f t="shared" ref="AC155" si="426">AB155</f>
        <v>0.25</v>
      </c>
      <c r="AD155" s="146">
        <f t="shared" ref="AD155" si="427">AC155</f>
        <v>0.25</v>
      </c>
      <c r="AE155" s="146">
        <f t="shared" ref="AE155" si="428">AD155</f>
        <v>0.25</v>
      </c>
      <c r="AF155" s="146">
        <f t="shared" ref="AF155" si="429">AE155</f>
        <v>0.25</v>
      </c>
      <c r="AG155" s="146">
        <f t="shared" ref="AG155" si="430">AF155</f>
        <v>0.25</v>
      </c>
      <c r="AH155" s="146">
        <f t="shared" ref="AH155" si="431">AG155</f>
        <v>0.25</v>
      </c>
      <c r="AI155" s="146">
        <f t="shared" ref="AI155" si="432">AH155</f>
        <v>0.25</v>
      </c>
      <c r="AJ155" s="146">
        <f t="shared" ref="AJ155" si="433">AI155</f>
        <v>0.25</v>
      </c>
      <c r="AK155" s="146">
        <f t="shared" ref="AK155" si="434">AJ155</f>
        <v>0.25</v>
      </c>
      <c r="AL155" s="146">
        <f t="shared" ref="AL155" si="435">AK155</f>
        <v>0.25</v>
      </c>
      <c r="AM155" s="146">
        <f t="shared" ref="AM155" si="436">AL155</f>
        <v>0.25</v>
      </c>
      <c r="AN155" s="146">
        <f t="shared" ref="AN155" si="437">AM155</f>
        <v>0.25</v>
      </c>
      <c r="AO155" s="146">
        <f t="shared" ref="AO155" si="438">AN155</f>
        <v>0.25</v>
      </c>
      <c r="AP155" s="146">
        <f t="shared" ref="AP155" si="439">AO155</f>
        <v>0.25</v>
      </c>
      <c r="AQ155" s="146">
        <f t="shared" ref="AQ155" si="440">AP155</f>
        <v>0.25</v>
      </c>
      <c r="AR155" s="146">
        <f t="shared" ref="AR155" si="441">AQ155</f>
        <v>0.25</v>
      </c>
      <c r="AS155" s="146">
        <f t="shared" ref="AS155" si="442">AR155</f>
        <v>0.25</v>
      </c>
      <c r="AT155" s="146">
        <f t="shared" ref="AT155" si="443">AS155</f>
        <v>0.25</v>
      </c>
      <c r="AU155" s="146">
        <f t="shared" ref="AU155" si="444">AT155</f>
        <v>0.25</v>
      </c>
      <c r="AV155" s="146">
        <f t="shared" ref="AV155" si="445">AU155</f>
        <v>0.25</v>
      </c>
      <c r="AW155" s="146">
        <f t="shared" ref="AW155" si="446">AV155</f>
        <v>0.25</v>
      </c>
      <c r="AX155" s="146">
        <f t="shared" ref="AX155" si="447">AW155</f>
        <v>0.25</v>
      </c>
      <c r="AY155" s="146">
        <f t="shared" ref="AY155" si="448">AX155</f>
        <v>0.25</v>
      </c>
    </row>
    <row r="156" spans="1:51" s="43" customFormat="1" ht="13" x14ac:dyDescent="0.3">
      <c r="A156" s="43" t="s">
        <v>28</v>
      </c>
      <c r="B156" s="45" t="s">
        <v>44</v>
      </c>
      <c r="C156" s="48">
        <f>SUM(D156:AY156)</f>
        <v>70446.832283647105</v>
      </c>
      <c r="D156" s="48">
        <f t="shared" ref="D156:V156" si="449">IF(D154&lt;0,0,D154*D155)</f>
        <v>0</v>
      </c>
      <c r="E156" s="48">
        <f t="shared" si="449"/>
        <v>0</v>
      </c>
      <c r="F156" s="48">
        <f t="shared" si="449"/>
        <v>0</v>
      </c>
      <c r="G156" s="48">
        <f t="shared" si="449"/>
        <v>0</v>
      </c>
      <c r="H156" s="48">
        <f t="shared" si="449"/>
        <v>0</v>
      </c>
      <c r="I156" s="48">
        <f t="shared" si="449"/>
        <v>0</v>
      </c>
      <c r="J156" s="48">
        <f t="shared" si="449"/>
        <v>522.52284131437875</v>
      </c>
      <c r="K156" s="48">
        <f t="shared" si="449"/>
        <v>1524.3525544423137</v>
      </c>
      <c r="L156" s="48">
        <f t="shared" si="449"/>
        <v>1533.9358829482508</v>
      </c>
      <c r="M156" s="48">
        <f t="shared" si="449"/>
        <v>1543.4361329908484</v>
      </c>
      <c r="N156" s="48">
        <f t="shared" si="449"/>
        <v>1552.854213823842</v>
      </c>
      <c r="O156" s="48">
        <f t="shared" si="449"/>
        <v>1562.1909977056191</v>
      </c>
      <c r="P156" s="48">
        <f t="shared" si="449"/>
        <v>1571.4473204407384</v>
      </c>
      <c r="Q156" s="48">
        <f t="shared" si="449"/>
        <v>1580.6239819076327</v>
      </c>
      <c r="R156" s="48">
        <f t="shared" si="449"/>
        <v>1589.7217465727567</v>
      </c>
      <c r="S156" s="48">
        <f t="shared" si="449"/>
        <v>1598.7413439914383</v>
      </c>
      <c r="T156" s="48">
        <f t="shared" si="449"/>
        <v>1607.6834692956818</v>
      </c>
      <c r="U156" s="48">
        <f t="shared" si="449"/>
        <v>1616.5487836691664</v>
      </c>
      <c r="V156" s="48">
        <f t="shared" si="449"/>
        <v>1625.3379148096808</v>
      </c>
      <c r="W156" s="48">
        <f t="shared" ref="W156" si="450">IF(W154&lt;0,0,W154*W155)</f>
        <v>1634.0514573792304</v>
      </c>
      <c r="X156" s="48">
        <f t="shared" ref="X156" si="451">IF(X154&lt;0,0,X154*X155)</f>
        <v>1642.6899734420354</v>
      </c>
      <c r="Y156" s="48">
        <f t="shared" ref="Y156" si="452">IF(Y154&lt;0,0,Y154*Y155)</f>
        <v>1651.2539928906583</v>
      </c>
      <c r="Z156" s="48">
        <f t="shared" ref="Z156" si="453">IF(Z154&lt;0,0,Z154*Z155)</f>
        <v>1659.7440138604672</v>
      </c>
      <c r="AA156" s="48">
        <f t="shared" ref="AA156" si="454">IF(AA154&lt;0,0,AA154*AA155)</f>
        <v>1668.1605031326555</v>
      </c>
      <c r="AB156" s="48">
        <f t="shared" ref="AB156" si="455">IF(AB154&lt;0,0,AB154*AB155)</f>
        <v>1676.5038965260246</v>
      </c>
      <c r="AC156" s="48">
        <f t="shared" ref="AC156" si="456">IF(AC154&lt;0,0,AC154*AC155)</f>
        <v>1684.7745992777318</v>
      </c>
      <c r="AD156" s="48">
        <f t="shared" ref="AD156" si="457">IF(AD154&lt;0,0,AD154*AD155)</f>
        <v>1692.9729864132112</v>
      </c>
      <c r="AE156" s="48">
        <f t="shared" ref="AE156" si="458">IF(AE154&lt;0,0,AE154*AE155)</f>
        <v>1701.0994031054536</v>
      </c>
      <c r="AF156" s="48">
        <f t="shared" ref="AF156" si="459">IF(AF154&lt;0,0,AF154*AF155)</f>
        <v>1709.1541650238414</v>
      </c>
      <c r="AG156" s="48">
        <f t="shared" ref="AG156" si="460">IF(AG154&lt;0,0,AG154*AG155)</f>
        <v>1717.1375586727236</v>
      </c>
      <c r="AH156" s="48">
        <f t="shared" ref="AH156" si="461">IF(AH154&lt;0,0,AH154*AH155)</f>
        <v>1725.0498417199187</v>
      </c>
      <c r="AI156" s="48">
        <f t="shared" ref="AI156" si="462">IF(AI154&lt;0,0,AI154*AI155)</f>
        <v>1732.8912433153109</v>
      </c>
      <c r="AJ156" s="48">
        <f t="shared" ref="AJ156:AY156" si="463">IF(AJ154&lt;0,0,AJ154*AJ155)</f>
        <v>1740.661964399731</v>
      </c>
      <c r="AK156" s="48">
        <f t="shared" si="463"/>
        <v>1748.362178004279</v>
      </c>
      <c r="AL156" s="48">
        <f t="shared" si="463"/>
        <v>1755.9920295402608</v>
      </c>
      <c r="AM156" s="48">
        <f t="shared" si="463"/>
        <v>1763.5516370799005</v>
      </c>
      <c r="AN156" s="48">
        <f t="shared" si="463"/>
        <v>1771.0410916279902</v>
      </c>
      <c r="AO156" s="48">
        <f t="shared" si="463"/>
        <v>1778.4604573846254</v>
      </c>
      <c r="AP156" s="48">
        <f t="shared" si="463"/>
        <v>1785.8097719991824</v>
      </c>
      <c r="AQ156" s="48">
        <f t="shared" si="463"/>
        <v>1793.089046815694</v>
      </c>
      <c r="AR156" s="48">
        <f t="shared" si="463"/>
        <v>1800.2982671097493</v>
      </c>
      <c r="AS156" s="48">
        <f t="shared" si="463"/>
        <v>1807.4373923170765</v>
      </c>
      <c r="AT156" s="48">
        <f t="shared" si="463"/>
        <v>1814.5063562539403</v>
      </c>
      <c r="AU156" s="48">
        <f t="shared" si="463"/>
        <v>1821.5050673294832</v>
      </c>
      <c r="AV156" s="48">
        <f t="shared" si="463"/>
        <v>1832.7456483114852</v>
      </c>
      <c r="AW156" s="48">
        <f t="shared" si="463"/>
        <v>1834.2612061153668</v>
      </c>
      <c r="AX156" s="48">
        <f t="shared" si="463"/>
        <v>1818.2262504043947</v>
      </c>
      <c r="AY156" s="48">
        <f t="shared" si="463"/>
        <v>2256.0031002823184</v>
      </c>
    </row>
    <row r="157" spans="1:51" s="45" customFormat="1" ht="13" x14ac:dyDescent="0.3">
      <c r="A157" s="45" t="s">
        <v>29</v>
      </c>
      <c r="C157" s="53"/>
      <c r="D157" s="53">
        <f t="shared" ref="D157:V157" si="464">IF(D154&gt;0,0,D154)</f>
        <v>-1100</v>
      </c>
      <c r="E157" s="53">
        <f t="shared" si="464"/>
        <v>-1499.2424242424238</v>
      </c>
      <c r="F157" s="53">
        <f t="shared" si="464"/>
        <v>-1541.8718434343423</v>
      </c>
      <c r="G157" s="53">
        <f t="shared" si="464"/>
        <v>-1386.8328466961257</v>
      </c>
      <c r="H157" s="53">
        <f t="shared" si="464"/>
        <v>-2731.4253442081381</v>
      </c>
      <c r="I157" s="53">
        <f t="shared" si="464"/>
        <v>-3877.7403465068314</v>
      </c>
      <c r="J157" s="53">
        <f t="shared" si="464"/>
        <v>0</v>
      </c>
      <c r="K157" s="53">
        <f t="shared" si="464"/>
        <v>0</v>
      </c>
      <c r="L157" s="53">
        <f t="shared" si="464"/>
        <v>0</v>
      </c>
      <c r="M157" s="53">
        <f t="shared" si="464"/>
        <v>0</v>
      </c>
      <c r="N157" s="53">
        <f t="shared" si="464"/>
        <v>0</v>
      </c>
      <c r="O157" s="53">
        <f t="shared" si="464"/>
        <v>0</v>
      </c>
      <c r="P157" s="53">
        <f t="shared" si="464"/>
        <v>0</v>
      </c>
      <c r="Q157" s="53">
        <f t="shared" si="464"/>
        <v>0</v>
      </c>
      <c r="R157" s="53">
        <f t="shared" si="464"/>
        <v>0</v>
      </c>
      <c r="S157" s="53">
        <f t="shared" si="464"/>
        <v>0</v>
      </c>
      <c r="T157" s="53">
        <f t="shared" si="464"/>
        <v>0</v>
      </c>
      <c r="U157" s="53">
        <f t="shared" si="464"/>
        <v>0</v>
      </c>
      <c r="V157" s="53">
        <f t="shared" si="464"/>
        <v>0</v>
      </c>
      <c r="W157" s="53">
        <f t="shared" ref="W157:AJ157" si="465">IF(W154&gt;0,0,W154)</f>
        <v>0</v>
      </c>
      <c r="X157" s="53">
        <f t="shared" si="465"/>
        <v>0</v>
      </c>
      <c r="Y157" s="53">
        <f t="shared" si="465"/>
        <v>0</v>
      </c>
      <c r="Z157" s="53">
        <f t="shared" si="465"/>
        <v>0</v>
      </c>
      <c r="AA157" s="53">
        <f t="shared" si="465"/>
        <v>0</v>
      </c>
      <c r="AB157" s="53">
        <f t="shared" si="465"/>
        <v>0</v>
      </c>
      <c r="AC157" s="53">
        <f t="shared" si="465"/>
        <v>0</v>
      </c>
      <c r="AD157" s="53">
        <f t="shared" si="465"/>
        <v>0</v>
      </c>
      <c r="AE157" s="53">
        <f t="shared" si="465"/>
        <v>0</v>
      </c>
      <c r="AF157" s="53">
        <f t="shared" si="465"/>
        <v>0</v>
      </c>
      <c r="AG157" s="53">
        <f t="shared" si="465"/>
        <v>0</v>
      </c>
      <c r="AH157" s="53">
        <f t="shared" si="465"/>
        <v>0</v>
      </c>
      <c r="AI157" s="53">
        <f t="shared" si="465"/>
        <v>0</v>
      </c>
      <c r="AJ157" s="53">
        <f t="shared" si="465"/>
        <v>0</v>
      </c>
      <c r="AK157" s="53">
        <f t="shared" ref="AK157:AY157" si="466">IF(AK154&gt;0,0,AK154)</f>
        <v>0</v>
      </c>
      <c r="AL157" s="53">
        <f t="shared" si="466"/>
        <v>0</v>
      </c>
      <c r="AM157" s="53">
        <f t="shared" si="466"/>
        <v>0</v>
      </c>
      <c r="AN157" s="53">
        <f t="shared" si="466"/>
        <v>0</v>
      </c>
      <c r="AO157" s="53">
        <f t="shared" si="466"/>
        <v>0</v>
      </c>
      <c r="AP157" s="53">
        <f t="shared" si="466"/>
        <v>0</v>
      </c>
      <c r="AQ157" s="53">
        <f t="shared" si="466"/>
        <v>0</v>
      </c>
      <c r="AR157" s="53">
        <f t="shared" si="466"/>
        <v>0</v>
      </c>
      <c r="AS157" s="53">
        <f t="shared" si="466"/>
        <v>0</v>
      </c>
      <c r="AT157" s="53">
        <f t="shared" si="466"/>
        <v>0</v>
      </c>
      <c r="AU157" s="53">
        <f t="shared" si="466"/>
        <v>0</v>
      </c>
      <c r="AV157" s="53">
        <f t="shared" si="466"/>
        <v>0</v>
      </c>
      <c r="AW157" s="53">
        <f t="shared" si="466"/>
        <v>0</v>
      </c>
      <c r="AX157" s="53">
        <f t="shared" si="466"/>
        <v>0</v>
      </c>
      <c r="AY157" s="53">
        <f t="shared" si="466"/>
        <v>0</v>
      </c>
    </row>
    <row r="158" spans="1:51" s="45" customFormat="1" ht="13" x14ac:dyDescent="0.3">
      <c r="A158" s="14" t="s">
        <v>175</v>
      </c>
      <c r="C158" s="46"/>
      <c r="D158" s="46"/>
      <c r="E158" s="46"/>
      <c r="F158" s="46"/>
      <c r="G158" s="46"/>
      <c r="H158" s="46"/>
      <c r="I158" s="46"/>
      <c r="J158" s="46"/>
    </row>
    <row r="159" spans="1:51" s="43" customFormat="1" ht="13" x14ac:dyDescent="0.3">
      <c r="A159" s="43" t="s">
        <v>10</v>
      </c>
      <c r="B159" s="45" t="s">
        <v>44</v>
      </c>
      <c r="C159" s="48">
        <f>SUM(D159:AY159)</f>
        <v>92835.428283911126</v>
      </c>
      <c r="D159" s="48">
        <f>D130+D156</f>
        <v>-110.00000000000004</v>
      </c>
      <c r="E159" s="48">
        <f>E130+E156</f>
        <v>-1019.0909090909095</v>
      </c>
      <c r="F159" s="48">
        <f>F130+F156</f>
        <v>-1746.3636363636369</v>
      </c>
      <c r="G159" s="48">
        <f>G130+G156</f>
        <v>-2473.6363636363644</v>
      </c>
      <c r="H159" s="48">
        <f>H130+H156</f>
        <v>-1200.9090909090912</v>
      </c>
      <c r="I159" s="48">
        <f>I130+I156</f>
        <v>-1746.3636363636369</v>
      </c>
      <c r="J159" s="48">
        <f>J130+J156</f>
        <v>1284.0682958598336</v>
      </c>
      <c r="K159" s="48">
        <f>K130+K156</f>
        <v>2197.5066453514046</v>
      </c>
      <c r="L159" s="48">
        <f>L130+L156</f>
        <v>2209.6021996527961</v>
      </c>
      <c r="M159" s="48">
        <f>M130+M156</f>
        <v>2221.6089671389905</v>
      </c>
      <c r="N159" s="48">
        <f>N130+N156</f>
        <v>2233.5276473686858</v>
      </c>
      <c r="O159" s="48">
        <f>O130+O156</f>
        <v>2245.3589000528546</v>
      </c>
      <c r="P159" s="48">
        <f>P130+P156</f>
        <v>2257.1033455640013</v>
      </c>
      <c r="Q159" s="48">
        <f>Q130+Q156</f>
        <v>2268.7615654312581</v>
      </c>
      <c r="R159" s="48">
        <f>R130+R156</f>
        <v>2280.3341028215864</v>
      </c>
      <c r="S159" s="48">
        <f>S130+S156</f>
        <v>2291.8214630073298</v>
      </c>
      <c r="T159" s="48">
        <f>T130+T156</f>
        <v>2303.2241138203681</v>
      </c>
      <c r="U159" s="48">
        <f>U130+U156</f>
        <v>2314.542486093113</v>
      </c>
      <c r="V159" s="48">
        <f>V130+V156</f>
        <v>2325.7769740865774</v>
      </c>
      <c r="W159" s="48">
        <f>W130+W156</f>
        <v>2336.9279359057587</v>
      </c>
      <c r="X159" s="48">
        <f>X130+X156</f>
        <v>2347.9956939025433</v>
      </c>
      <c r="Y159" s="48">
        <f>Y130+Y156</f>
        <v>2358.9805350663719</v>
      </c>
      <c r="Z159" s="48">
        <f>Z130+Z156</f>
        <v>2369.8827114028659</v>
      </c>
      <c r="AA159" s="48">
        <f>AA130+AA156</f>
        <v>2380.7024403006335</v>
      </c>
      <c r="AB159" s="48">
        <f>AB130+AB156</f>
        <v>2391.4399048864561</v>
      </c>
      <c r="AC159" s="48">
        <f>AC130+AC156</f>
        <v>2402.0952543690537</v>
      </c>
      <c r="AD159" s="48">
        <f>AD130+AD156</f>
        <v>2412.6686043716372</v>
      </c>
      <c r="AE159" s="48">
        <f>AE130+AE156</f>
        <v>2423.1600372534194</v>
      </c>
      <c r="AF159" s="48">
        <f>AF130+AF156</f>
        <v>2433.5696024202916</v>
      </c>
      <c r="AG159" s="48">
        <f>AG130+AG156</f>
        <v>2443.8973166248325</v>
      </c>
      <c r="AH159" s="48">
        <f>AH130+AH156</f>
        <v>2454.1431642558432</v>
      </c>
      <c r="AI159" s="48">
        <f>AI130+AI156</f>
        <v>2464.3070976175595</v>
      </c>
      <c r="AJ159" s="48">
        <f>AJ130+AJ156</f>
        <v>2474.3890371987454</v>
      </c>
      <c r="AK159" s="48">
        <f>AK130+AK156</f>
        <v>2484.3888719317974</v>
      </c>
      <c r="AL159" s="48">
        <f>AL130+AL156</f>
        <v>2494.3064594420512</v>
      </c>
      <c r="AM159" s="48">
        <f>AM130+AM156</f>
        <v>2504.1416262874282</v>
      </c>
      <c r="AN159" s="48">
        <f>AN130+AN156</f>
        <v>2513.8941681885958</v>
      </c>
      <c r="AO159" s="48">
        <f>AO130+AO156</f>
        <v>2523.5638502497727</v>
      </c>
      <c r="AP159" s="48">
        <f>AP130+AP156</f>
        <v>2533.1504071703339</v>
      </c>
      <c r="AQ159" s="48">
        <f>AQ130+AQ156</f>
        <v>2542.6535434473776</v>
      </c>
      <c r="AR159" s="48">
        <f>AR130+AR156</f>
        <v>2552.0729335693586</v>
      </c>
      <c r="AS159" s="48">
        <f>AS130+AS156</f>
        <v>2561.4082222009565</v>
      </c>
      <c r="AT159" s="48">
        <f>AT130+AT156</f>
        <v>2570.6590243592937</v>
      </c>
      <c r="AU159" s="48">
        <f>AU130+AU156</f>
        <v>2579.8249255816418</v>
      </c>
      <c r="AV159" s="48">
        <f>AV130+AV156</f>
        <v>2594.9426174706041</v>
      </c>
      <c r="AW159" s="48">
        <f>AW130+AW156</f>
        <v>2596.4581752744853</v>
      </c>
      <c r="AX159" s="48">
        <f>AX130+AX156</f>
        <v>2671.3323104726041</v>
      </c>
      <c r="AY159" s="48">
        <f>AY130+AY156</f>
        <v>3281.5987428036465</v>
      </c>
    </row>
    <row r="160" spans="1:51" s="43" customFormat="1" ht="13" x14ac:dyDescent="0.3">
      <c r="B160" s="45"/>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row>
    <row r="161" spans="1:51" s="17" customFormat="1" ht="33.75" customHeight="1" x14ac:dyDescent="0.35">
      <c r="A161" s="37" t="s">
        <v>167</v>
      </c>
      <c r="C161" s="40"/>
      <c r="D161" s="40"/>
      <c r="E161" s="40"/>
      <c r="F161" s="40"/>
      <c r="G161" s="40"/>
      <c r="H161" s="40"/>
      <c r="I161" s="40"/>
      <c r="J161" s="40"/>
    </row>
    <row r="162" spans="1:51" s="36" customFormat="1" ht="12.75" customHeight="1" x14ac:dyDescent="0.3">
      <c r="A162" s="36" t="str">
        <f t="shared" ref="A162:AF162" si="467">A$60</f>
        <v>Months --&gt;</v>
      </c>
      <c r="B162" s="36" t="str">
        <f t="shared" si="467"/>
        <v>units</v>
      </c>
      <c r="C162" s="36" t="str">
        <f t="shared" si="467"/>
        <v>Total</v>
      </c>
      <c r="D162" s="51">
        <f t="shared" si="467"/>
        <v>46113</v>
      </c>
      <c r="E162" s="51">
        <f t="shared" si="467"/>
        <v>46144</v>
      </c>
      <c r="F162" s="51">
        <f t="shared" si="467"/>
        <v>46175</v>
      </c>
      <c r="G162" s="51">
        <f t="shared" si="467"/>
        <v>46206</v>
      </c>
      <c r="H162" s="51">
        <f t="shared" si="467"/>
        <v>46237</v>
      </c>
      <c r="I162" s="51">
        <f t="shared" si="467"/>
        <v>46268</v>
      </c>
      <c r="J162" s="51">
        <f t="shared" si="467"/>
        <v>46299</v>
      </c>
      <c r="K162" s="51">
        <f t="shared" si="467"/>
        <v>46330</v>
      </c>
      <c r="L162" s="51">
        <f t="shared" si="467"/>
        <v>46361</v>
      </c>
      <c r="M162" s="51">
        <f t="shared" si="467"/>
        <v>46392</v>
      </c>
      <c r="N162" s="51">
        <f t="shared" si="467"/>
        <v>46423</v>
      </c>
      <c r="O162" s="51">
        <f t="shared" si="467"/>
        <v>46454</v>
      </c>
      <c r="P162" s="51">
        <f t="shared" si="467"/>
        <v>46485</v>
      </c>
      <c r="Q162" s="51">
        <f t="shared" si="467"/>
        <v>46516</v>
      </c>
      <c r="R162" s="51">
        <f t="shared" si="467"/>
        <v>46547</v>
      </c>
      <c r="S162" s="51">
        <f t="shared" si="467"/>
        <v>46578</v>
      </c>
      <c r="T162" s="51">
        <f t="shared" si="467"/>
        <v>46609</v>
      </c>
      <c r="U162" s="51">
        <f t="shared" si="467"/>
        <v>46640</v>
      </c>
      <c r="V162" s="51">
        <f t="shared" si="467"/>
        <v>46671</v>
      </c>
      <c r="W162" s="51">
        <f t="shared" si="467"/>
        <v>46702</v>
      </c>
      <c r="X162" s="51">
        <f t="shared" si="467"/>
        <v>46733</v>
      </c>
      <c r="Y162" s="51">
        <f t="shared" si="467"/>
        <v>46764</v>
      </c>
      <c r="Z162" s="51">
        <f t="shared" si="467"/>
        <v>46795</v>
      </c>
      <c r="AA162" s="51">
        <f t="shared" si="467"/>
        <v>46826</v>
      </c>
      <c r="AB162" s="51">
        <f t="shared" si="467"/>
        <v>46857</v>
      </c>
      <c r="AC162" s="51">
        <f t="shared" si="467"/>
        <v>46888</v>
      </c>
      <c r="AD162" s="51">
        <f t="shared" si="467"/>
        <v>46919</v>
      </c>
      <c r="AE162" s="51">
        <f t="shared" si="467"/>
        <v>46950</v>
      </c>
      <c r="AF162" s="51">
        <f t="shared" si="467"/>
        <v>46981</v>
      </c>
      <c r="AG162" s="51">
        <f t="shared" ref="AG162:AY162" si="468">AG$60</f>
        <v>47012</v>
      </c>
      <c r="AH162" s="51">
        <f t="shared" si="468"/>
        <v>47043</v>
      </c>
      <c r="AI162" s="51">
        <f t="shared" si="468"/>
        <v>47074</v>
      </c>
      <c r="AJ162" s="51">
        <f t="shared" si="468"/>
        <v>47105</v>
      </c>
      <c r="AK162" s="51">
        <f t="shared" si="468"/>
        <v>47136</v>
      </c>
      <c r="AL162" s="51">
        <f t="shared" si="468"/>
        <v>47167</v>
      </c>
      <c r="AM162" s="51">
        <f t="shared" si="468"/>
        <v>47198</v>
      </c>
      <c r="AN162" s="51">
        <f t="shared" si="468"/>
        <v>47229</v>
      </c>
      <c r="AO162" s="51">
        <f t="shared" si="468"/>
        <v>47260</v>
      </c>
      <c r="AP162" s="51">
        <f t="shared" si="468"/>
        <v>47291</v>
      </c>
      <c r="AQ162" s="51">
        <f t="shared" si="468"/>
        <v>47322</v>
      </c>
      <c r="AR162" s="51">
        <f t="shared" si="468"/>
        <v>47353</v>
      </c>
      <c r="AS162" s="51">
        <f t="shared" si="468"/>
        <v>47384</v>
      </c>
      <c r="AT162" s="51">
        <f t="shared" si="468"/>
        <v>47415</v>
      </c>
      <c r="AU162" s="51">
        <f t="shared" si="468"/>
        <v>47446</v>
      </c>
      <c r="AV162" s="51">
        <f t="shared" si="468"/>
        <v>47477</v>
      </c>
      <c r="AW162" s="51">
        <f t="shared" si="468"/>
        <v>47508</v>
      </c>
      <c r="AX162" s="51">
        <f t="shared" si="468"/>
        <v>47539</v>
      </c>
      <c r="AY162" s="51">
        <f t="shared" si="468"/>
        <v>47570</v>
      </c>
    </row>
    <row r="163" spans="1:51" s="17" customFormat="1" ht="24.5" customHeight="1" x14ac:dyDescent="0.35">
      <c r="A163" s="20" t="s">
        <v>167</v>
      </c>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row>
    <row r="164" spans="1:51" s="62" customFormat="1" ht="13" x14ac:dyDescent="0.3">
      <c r="A164" s="62" t="str">
        <f>A72</f>
        <v>Cashstream 1: Revenue</v>
      </c>
      <c r="B164" s="62" t="str">
        <f>B72</f>
        <v>$ Real</v>
      </c>
      <c r="C164" s="53">
        <f>SUM(D164:AY164)</f>
        <v>628038.80298200692</v>
      </c>
      <c r="D164" s="53">
        <f>D72</f>
        <v>0</v>
      </c>
      <c r="E164" s="53">
        <f>E72</f>
        <v>0</v>
      </c>
      <c r="F164" s="53">
        <f>F72</f>
        <v>0</v>
      </c>
      <c r="G164" s="53">
        <f>G72</f>
        <v>0</v>
      </c>
      <c r="H164" s="53">
        <f>H72</f>
        <v>0</v>
      </c>
      <c r="I164" s="53">
        <f>I72</f>
        <v>0</v>
      </c>
      <c r="J164" s="53">
        <f>J72</f>
        <v>13500</v>
      </c>
      <c r="K164" s="53">
        <f>K72</f>
        <v>13566.824999999999</v>
      </c>
      <c r="L164" s="53">
        <f>L72</f>
        <v>13633.980783749999</v>
      </c>
      <c r="M164" s="53">
        <f>M72</f>
        <v>13701.468988629562</v>
      </c>
      <c r="N164" s="53">
        <f>N72</f>
        <v>13769.291260123278</v>
      </c>
      <c r="O164" s="53">
        <f>O72</f>
        <v>13837.449251860889</v>
      </c>
      <c r="P164" s="53">
        <f>P72</f>
        <v>13905.944625657601</v>
      </c>
      <c r="Q164" s="53">
        <f>Q72</f>
        <v>13974.779051554606</v>
      </c>
      <c r="R164" s="53">
        <f>R72</f>
        <v>14043.954207859802</v>
      </c>
      <c r="S164" s="53">
        <f>S72</f>
        <v>14113.471781188708</v>
      </c>
      <c r="T164" s="53">
        <f>T72</f>
        <v>14183.33346650559</v>
      </c>
      <c r="U164" s="53">
        <f>U72</f>
        <v>14253.540967164794</v>
      </c>
      <c r="V164" s="53">
        <f>V72</f>
        <v>14324.095994952257</v>
      </c>
      <c r="W164" s="53">
        <f>W72</f>
        <v>14395.000270127272</v>
      </c>
      <c r="X164" s="53">
        <f>X72</f>
        <v>14466.255521464402</v>
      </c>
      <c r="Y164" s="53">
        <f>Y72</f>
        <v>14537.863486295651</v>
      </c>
      <c r="Z164" s="53">
        <f>Z72</f>
        <v>14609.825910552814</v>
      </c>
      <c r="AA164" s="53">
        <f>AA72</f>
        <v>14682.144548810051</v>
      </c>
      <c r="AB164" s="53">
        <f>AB72</f>
        <v>14754.821164326662</v>
      </c>
      <c r="AC164" s="53">
        <f>AC72</f>
        <v>14827.857529090081</v>
      </c>
      <c r="AD164" s="53">
        <f>AD72</f>
        <v>14901.255423859076</v>
      </c>
      <c r="AE164" s="53">
        <f>AE72</f>
        <v>14975.01663820718</v>
      </c>
      <c r="AF164" s="53">
        <f>AF72</f>
        <v>15049.142970566305</v>
      </c>
      <c r="AG164" s="53">
        <f>AG72</f>
        <v>15123.636228270607</v>
      </c>
      <c r="AH164" s="53">
        <f>AH72</f>
        <v>15198.498227600547</v>
      </c>
      <c r="AI164" s="53">
        <f>AI72</f>
        <v>15273.73079382717</v>
      </c>
      <c r="AJ164" s="53">
        <f>AJ72</f>
        <v>15349.335761256614</v>
      </c>
      <c r="AK164" s="53">
        <f>AK72</f>
        <v>15425.314973274835</v>
      </c>
      <c r="AL164" s="53">
        <f>AL72</f>
        <v>15501.670282392544</v>
      </c>
      <c r="AM164" s="53">
        <f>AM72</f>
        <v>15578.403550290386</v>
      </c>
      <c r="AN164" s="53">
        <f>AN72</f>
        <v>15655.516647864322</v>
      </c>
      <c r="AO164" s="53">
        <f>AO72</f>
        <v>15733.011455271255</v>
      </c>
      <c r="AP164" s="53">
        <f>AP72</f>
        <v>15810.889861974847</v>
      </c>
      <c r="AQ164" s="53">
        <f>AQ72</f>
        <v>15889.153766791622</v>
      </c>
      <c r="AR164" s="53">
        <f>AR72</f>
        <v>15967.805077937241</v>
      </c>
      <c r="AS164" s="53">
        <f>AS72</f>
        <v>16046.845713073029</v>
      </c>
      <c r="AT164" s="53">
        <f>AT72</f>
        <v>16126.277599352743</v>
      </c>
      <c r="AU164" s="53">
        <f>AU72</f>
        <v>16206.102673469539</v>
      </c>
      <c r="AV164" s="53">
        <f>AV72</f>
        <v>16286.322881703212</v>
      </c>
      <c r="AW164" s="53">
        <f>AW72</f>
        <v>16286.322881703212</v>
      </c>
      <c r="AX164" s="53">
        <f>AX72</f>
        <v>16286.322881703212</v>
      </c>
      <c r="AY164" s="53">
        <f>AY72</f>
        <v>16286.322881703212</v>
      </c>
    </row>
    <row r="165" spans="1:51" s="62" customFormat="1" ht="13" x14ac:dyDescent="0.3">
      <c r="A165" s="62" t="str">
        <f>A82</f>
        <v>Cashstream 2: Capital Costs</v>
      </c>
      <c r="B165" s="62" t="str">
        <f>B82</f>
        <v>$ Real</v>
      </c>
      <c r="C165" s="53">
        <f>SUM(D165:AY165)</f>
        <v>123000</v>
      </c>
      <c r="D165" s="53">
        <f>D82</f>
        <v>0</v>
      </c>
      <c r="E165" s="53">
        <f>E82</f>
        <v>10000</v>
      </c>
      <c r="F165" s="53">
        <f>F82</f>
        <v>18000</v>
      </c>
      <c r="G165" s="53">
        <f>G82</f>
        <v>26000</v>
      </c>
      <c r="H165" s="53">
        <f>H82</f>
        <v>12000</v>
      </c>
      <c r="I165" s="53">
        <f>I82</f>
        <v>18000</v>
      </c>
      <c r="J165" s="53">
        <f>J82</f>
        <v>0</v>
      </c>
      <c r="K165" s="53">
        <f>K82</f>
        <v>1000</v>
      </c>
      <c r="L165" s="53">
        <f>L82</f>
        <v>1000</v>
      </c>
      <c r="M165" s="53">
        <f>M82</f>
        <v>1000</v>
      </c>
      <c r="N165" s="53">
        <f>N82</f>
        <v>1000</v>
      </c>
      <c r="O165" s="53">
        <f>O82</f>
        <v>1000</v>
      </c>
      <c r="P165" s="53">
        <f>P82</f>
        <v>1000</v>
      </c>
      <c r="Q165" s="53">
        <f>Q82</f>
        <v>1000</v>
      </c>
      <c r="R165" s="53">
        <f>R82</f>
        <v>1000</v>
      </c>
      <c r="S165" s="53">
        <f>S82</f>
        <v>1000</v>
      </c>
      <c r="T165" s="53">
        <f>T82</f>
        <v>1000</v>
      </c>
      <c r="U165" s="53">
        <f>U82</f>
        <v>1000</v>
      </c>
      <c r="V165" s="53">
        <f>V82</f>
        <v>1000</v>
      </c>
      <c r="W165" s="53">
        <f>W82</f>
        <v>1000</v>
      </c>
      <c r="X165" s="53">
        <f>X82</f>
        <v>1000</v>
      </c>
      <c r="Y165" s="53">
        <f>Y82</f>
        <v>1000</v>
      </c>
      <c r="Z165" s="53">
        <f>Z82</f>
        <v>1000</v>
      </c>
      <c r="AA165" s="53">
        <f>AA82</f>
        <v>1000</v>
      </c>
      <c r="AB165" s="53">
        <f>AB82</f>
        <v>1000</v>
      </c>
      <c r="AC165" s="53">
        <f>AC82</f>
        <v>1000</v>
      </c>
      <c r="AD165" s="53">
        <f>AD82</f>
        <v>1000</v>
      </c>
      <c r="AE165" s="53">
        <f>AE82</f>
        <v>1000</v>
      </c>
      <c r="AF165" s="53">
        <f>AF82</f>
        <v>1000</v>
      </c>
      <c r="AG165" s="53">
        <f>AG82</f>
        <v>1000</v>
      </c>
      <c r="AH165" s="53">
        <f>AH82</f>
        <v>1000</v>
      </c>
      <c r="AI165" s="53">
        <f>AI82</f>
        <v>1000</v>
      </c>
      <c r="AJ165" s="53">
        <f>AJ82</f>
        <v>1000</v>
      </c>
      <c r="AK165" s="53">
        <f>AK82</f>
        <v>1000</v>
      </c>
      <c r="AL165" s="53">
        <f>AL82</f>
        <v>1000</v>
      </c>
      <c r="AM165" s="53">
        <f>AM82</f>
        <v>1000</v>
      </c>
      <c r="AN165" s="53">
        <f>AN82</f>
        <v>1000</v>
      </c>
      <c r="AO165" s="53">
        <f>AO82</f>
        <v>1000</v>
      </c>
      <c r="AP165" s="53">
        <f>AP82</f>
        <v>1000</v>
      </c>
      <c r="AQ165" s="53">
        <f>AQ82</f>
        <v>1000</v>
      </c>
      <c r="AR165" s="53">
        <f>AR82</f>
        <v>1000</v>
      </c>
      <c r="AS165" s="53">
        <f>AS82</f>
        <v>1000</v>
      </c>
      <c r="AT165" s="53">
        <f>AT82</f>
        <v>1000</v>
      </c>
      <c r="AU165" s="53">
        <f>AU82</f>
        <v>1000</v>
      </c>
      <c r="AV165" s="53">
        <f>AV82</f>
        <v>1000</v>
      </c>
      <c r="AW165" s="53">
        <f>AW82</f>
        <v>1000</v>
      </c>
      <c r="AX165" s="53">
        <f>AX82</f>
        <v>0</v>
      </c>
      <c r="AY165" s="53">
        <f>AY82</f>
        <v>0</v>
      </c>
    </row>
    <row r="166" spans="1:51" s="62" customFormat="1" ht="13" x14ac:dyDescent="0.3">
      <c r="A166" s="62" t="str">
        <f>A118</f>
        <v>Cashstream 3: Operating Costs</v>
      </c>
      <c r="B166" s="62" t="str">
        <f>B118</f>
        <v>$ Real</v>
      </c>
      <c r="C166" s="53">
        <f>SUM(D166:AY166)</f>
        <v>258764.24697910249</v>
      </c>
      <c r="D166" s="53">
        <f>D118</f>
        <v>1210</v>
      </c>
      <c r="E166" s="53">
        <f>E118</f>
        <v>1210</v>
      </c>
      <c r="F166" s="53">
        <f>F118</f>
        <v>1210</v>
      </c>
      <c r="G166" s="53">
        <f>G118</f>
        <v>1210</v>
      </c>
      <c r="H166" s="53">
        <f>H118</f>
        <v>1210</v>
      </c>
      <c r="I166" s="53">
        <f>I118</f>
        <v>6210</v>
      </c>
      <c r="J166" s="53">
        <f>J118</f>
        <v>5123</v>
      </c>
      <c r="K166" s="53">
        <f>K118</f>
        <v>5162.13</v>
      </c>
      <c r="L166" s="53">
        <f>L118</f>
        <v>5201.6512999999995</v>
      </c>
      <c r="M166" s="53">
        <f>M118</f>
        <v>5241.5678130000006</v>
      </c>
      <c r="N166" s="53">
        <f>N118</f>
        <v>5281.88349113</v>
      </c>
      <c r="O166" s="53">
        <f>O118</f>
        <v>5322.6023260413003</v>
      </c>
      <c r="P166" s="53">
        <f>P118</f>
        <v>5363.728349301713</v>
      </c>
      <c r="Q166" s="53">
        <f>Q118</f>
        <v>5405.2656327947298</v>
      </c>
      <c r="R166" s="53">
        <f>R118</f>
        <v>5447.2182891226776</v>
      </c>
      <c r="S166" s="53">
        <f>S118</f>
        <v>5489.5904720139042</v>
      </c>
      <c r="T166" s="53">
        <f>T118</f>
        <v>5532.3863767340426</v>
      </c>
      <c r="U166" s="53">
        <f>U118</f>
        <v>5575.6102405013835</v>
      </c>
      <c r="V166" s="53">
        <f>V118</f>
        <v>5619.2663429063969</v>
      </c>
      <c r="W166" s="53">
        <f>W118</f>
        <v>5663.3590063354613</v>
      </c>
      <c r="X166" s="53">
        <f>X118</f>
        <v>5707.8925963988158</v>
      </c>
      <c r="Y166" s="53">
        <f>Y118</f>
        <v>5752.8715223628051</v>
      </c>
      <c r="Z166" s="53">
        <f>Z118</f>
        <v>5798.3002375864326</v>
      </c>
      <c r="AA166" s="53">
        <f>AA118</f>
        <v>5844.1832399622972</v>
      </c>
      <c r="AB166" s="53">
        <f>AB118</f>
        <v>5890.5250723619201</v>
      </c>
      <c r="AC166" s="53">
        <f>AC118</f>
        <v>5937.3303230855399</v>
      </c>
      <c r="AD166" s="53">
        <f>AD118</f>
        <v>5984.6036263163951</v>
      </c>
      <c r="AE166" s="53">
        <f>AE118</f>
        <v>6032.3496625795597</v>
      </c>
      <c r="AF166" s="53">
        <f>AF118</f>
        <v>6080.5731592053544</v>
      </c>
      <c r="AG166" s="53">
        <f>AG118</f>
        <v>6129.2788907974082</v>
      </c>
      <c r="AH166" s="53">
        <f>AH118</f>
        <v>6178.4716797053825</v>
      </c>
      <c r="AI166" s="53">
        <f>AI118</f>
        <v>6228.1563965024361</v>
      </c>
      <c r="AJ166" s="53">
        <f>AJ118</f>
        <v>6278.3379604674601</v>
      </c>
      <c r="AK166" s="53">
        <f>AK118</f>
        <v>6329.021340072135</v>
      </c>
      <c r="AL166" s="53">
        <f>AL118</f>
        <v>6380.2115534728555</v>
      </c>
      <c r="AM166" s="53">
        <f>AM118</f>
        <v>6431.9136690075848</v>
      </c>
      <c r="AN166" s="53">
        <f>AN118</f>
        <v>6484.1328056976608</v>
      </c>
      <c r="AO166" s="53">
        <f>AO118</f>
        <v>6536.874133754638</v>
      </c>
      <c r="AP166" s="53">
        <f>AP118</f>
        <v>6590.142875092185</v>
      </c>
      <c r="AQ166" s="53">
        <f>AQ118</f>
        <v>6643.9443038431064</v>
      </c>
      <c r="AR166" s="53">
        <f>AR118</f>
        <v>6698.2837468815378</v>
      </c>
      <c r="AS166" s="53">
        <f>AS118</f>
        <v>6753.1665843503524</v>
      </c>
      <c r="AT166" s="53">
        <f>AT118</f>
        <v>6808.5982501938561</v>
      </c>
      <c r="AU166" s="53">
        <f>AU118</f>
        <v>6864.5842326957954</v>
      </c>
      <c r="AV166" s="53">
        <f>AV118</f>
        <v>6902.1562209529102</v>
      </c>
      <c r="AW166" s="53">
        <f>AW118</f>
        <v>6902.1562209529102</v>
      </c>
      <c r="AX166" s="53">
        <f>AX118</f>
        <v>6902.1562209529102</v>
      </c>
      <c r="AY166" s="53">
        <f>AY118</f>
        <v>4.7708139686073991</v>
      </c>
    </row>
    <row r="167" spans="1:51" s="62" customFormat="1" ht="13" x14ac:dyDescent="0.3">
      <c r="A167" s="62" t="str">
        <f>A159</f>
        <v>Cashstream 4: Taxes</v>
      </c>
      <c r="B167" s="62" t="str">
        <f>B159</f>
        <v>$ Real</v>
      </c>
      <c r="C167" s="53">
        <f>SUM(D167:AY167)</f>
        <v>92835.428283911126</v>
      </c>
      <c r="D167" s="53">
        <f>D159</f>
        <v>-110.00000000000004</v>
      </c>
      <c r="E167" s="53">
        <f>E159</f>
        <v>-1019.0909090909095</v>
      </c>
      <c r="F167" s="53">
        <f>F159</f>
        <v>-1746.3636363636369</v>
      </c>
      <c r="G167" s="53">
        <f>G159</f>
        <v>-2473.6363636363644</v>
      </c>
      <c r="H167" s="53">
        <f>H159</f>
        <v>-1200.9090909090912</v>
      </c>
      <c r="I167" s="53">
        <f>I159</f>
        <v>-1746.3636363636369</v>
      </c>
      <c r="J167" s="53">
        <f>J159</f>
        <v>1284.0682958598336</v>
      </c>
      <c r="K167" s="53">
        <f>K159</f>
        <v>2197.5066453514046</v>
      </c>
      <c r="L167" s="53">
        <f>L159</f>
        <v>2209.6021996527961</v>
      </c>
      <c r="M167" s="53">
        <f>M159</f>
        <v>2221.6089671389905</v>
      </c>
      <c r="N167" s="53">
        <f>N159</f>
        <v>2233.5276473686858</v>
      </c>
      <c r="O167" s="53">
        <f>O159</f>
        <v>2245.3589000528546</v>
      </c>
      <c r="P167" s="53">
        <f>P159</f>
        <v>2257.1033455640013</v>
      </c>
      <c r="Q167" s="53">
        <f>Q159</f>
        <v>2268.7615654312581</v>
      </c>
      <c r="R167" s="53">
        <f>R159</f>
        <v>2280.3341028215864</v>
      </c>
      <c r="S167" s="53">
        <f>S159</f>
        <v>2291.8214630073298</v>
      </c>
      <c r="T167" s="53">
        <f>T159</f>
        <v>2303.2241138203681</v>
      </c>
      <c r="U167" s="53">
        <f>U159</f>
        <v>2314.542486093113</v>
      </c>
      <c r="V167" s="53">
        <f>V159</f>
        <v>2325.7769740865774</v>
      </c>
      <c r="W167" s="53">
        <f>W159</f>
        <v>2336.9279359057587</v>
      </c>
      <c r="X167" s="53">
        <f>X159</f>
        <v>2347.9956939025433</v>
      </c>
      <c r="Y167" s="53">
        <f>Y159</f>
        <v>2358.9805350663719</v>
      </c>
      <c r="Z167" s="53">
        <f>Z159</f>
        <v>2369.8827114028659</v>
      </c>
      <c r="AA167" s="53">
        <f>AA159</f>
        <v>2380.7024403006335</v>
      </c>
      <c r="AB167" s="53">
        <f>AB159</f>
        <v>2391.4399048864561</v>
      </c>
      <c r="AC167" s="53">
        <f>AC159</f>
        <v>2402.0952543690537</v>
      </c>
      <c r="AD167" s="53">
        <f>AD159</f>
        <v>2412.6686043716372</v>
      </c>
      <c r="AE167" s="53">
        <f>AE159</f>
        <v>2423.1600372534194</v>
      </c>
      <c r="AF167" s="53">
        <f>AF159</f>
        <v>2433.5696024202916</v>
      </c>
      <c r="AG167" s="53">
        <f>AG159</f>
        <v>2443.8973166248325</v>
      </c>
      <c r="AH167" s="53">
        <f>AH159</f>
        <v>2454.1431642558432</v>
      </c>
      <c r="AI167" s="53">
        <f>AI159</f>
        <v>2464.3070976175595</v>
      </c>
      <c r="AJ167" s="53">
        <f>AJ159</f>
        <v>2474.3890371987454</v>
      </c>
      <c r="AK167" s="53">
        <f>AK159</f>
        <v>2484.3888719317974</v>
      </c>
      <c r="AL167" s="53">
        <f>AL159</f>
        <v>2494.3064594420512</v>
      </c>
      <c r="AM167" s="53">
        <f>AM159</f>
        <v>2504.1416262874282</v>
      </c>
      <c r="AN167" s="53">
        <f>AN159</f>
        <v>2513.8941681885958</v>
      </c>
      <c r="AO167" s="53">
        <f>AO159</f>
        <v>2523.5638502497727</v>
      </c>
      <c r="AP167" s="53">
        <f>AP159</f>
        <v>2533.1504071703339</v>
      </c>
      <c r="AQ167" s="53">
        <f>AQ159</f>
        <v>2542.6535434473776</v>
      </c>
      <c r="AR167" s="53">
        <f>AR159</f>
        <v>2552.0729335693586</v>
      </c>
      <c r="AS167" s="53">
        <f>AS159</f>
        <v>2561.4082222009565</v>
      </c>
      <c r="AT167" s="53">
        <f>AT159</f>
        <v>2570.6590243592937</v>
      </c>
      <c r="AU167" s="53">
        <f>AU159</f>
        <v>2579.8249255816418</v>
      </c>
      <c r="AV167" s="53">
        <f>AV159</f>
        <v>2594.9426174706041</v>
      </c>
      <c r="AW167" s="53">
        <f>AW159</f>
        <v>2596.4581752744853</v>
      </c>
      <c r="AX167" s="53">
        <f>AX159</f>
        <v>2671.3323104726041</v>
      </c>
      <c r="AY167" s="53">
        <f>AY159</f>
        <v>3281.5987428036465</v>
      </c>
    </row>
    <row r="168" spans="1:51" s="62" customFormat="1" ht="16" thickBot="1" x14ac:dyDescent="0.4">
      <c r="A168" s="24" t="s">
        <v>191</v>
      </c>
      <c r="B168" s="62" t="s">
        <v>44</v>
      </c>
      <c r="C168" s="25">
        <f>SUM(D168:AY168)</f>
        <v>153439.12771899317</v>
      </c>
      <c r="D168" s="49">
        <f t="shared" ref="D168:AY168" si="469">D164-SUM(D165:D167)</f>
        <v>-1100</v>
      </c>
      <c r="E168" s="49">
        <f t="shared" si="469"/>
        <v>-10190.90909090909</v>
      </c>
      <c r="F168" s="49">
        <f t="shared" si="469"/>
        <v>-17463.636363636364</v>
      </c>
      <c r="G168" s="49">
        <f t="shared" si="469"/>
        <v>-24736.363636363636</v>
      </c>
      <c r="H168" s="49">
        <f t="shared" si="469"/>
        <v>-12009.090909090908</v>
      </c>
      <c r="I168" s="49">
        <f t="shared" si="469"/>
        <v>-22463.636363636364</v>
      </c>
      <c r="J168" s="49">
        <f t="shared" si="469"/>
        <v>7092.9317041401664</v>
      </c>
      <c r="K168" s="49">
        <f t="shared" si="469"/>
        <v>5207.1883546485933</v>
      </c>
      <c r="L168" s="49">
        <f t="shared" si="469"/>
        <v>5222.7272840972037</v>
      </c>
      <c r="M168" s="49">
        <f t="shared" si="469"/>
        <v>5238.2922084905713</v>
      </c>
      <c r="N168" s="49">
        <f t="shared" si="469"/>
        <v>5253.880121624592</v>
      </c>
      <c r="O168" s="49">
        <f t="shared" si="469"/>
        <v>5269.4880257667355</v>
      </c>
      <c r="P168" s="49">
        <f t="shared" si="469"/>
        <v>5285.1129307918873</v>
      </c>
      <c r="Q168" s="49">
        <f t="shared" si="469"/>
        <v>5300.7518533286184</v>
      </c>
      <c r="R168" s="49">
        <f t="shared" si="469"/>
        <v>5316.4018159155385</v>
      </c>
      <c r="S168" s="49">
        <f t="shared" si="469"/>
        <v>5332.0598461674726</v>
      </c>
      <c r="T168" s="49">
        <f t="shared" si="469"/>
        <v>5347.7229759511793</v>
      </c>
      <c r="U168" s="49">
        <f t="shared" si="469"/>
        <v>5363.3882405702971</v>
      </c>
      <c r="V168" s="49">
        <f t="shared" si="469"/>
        <v>5379.0526779592819</v>
      </c>
      <c r="W168" s="49">
        <f t="shared" si="469"/>
        <v>5394.713327886051</v>
      </c>
      <c r="X168" s="49">
        <f t="shared" si="469"/>
        <v>5410.3672311630435</v>
      </c>
      <c r="Y168" s="49">
        <f t="shared" si="469"/>
        <v>5426.0114288664754</v>
      </c>
      <c r="Z168" s="49">
        <f t="shared" si="469"/>
        <v>5441.6429615635152</v>
      </c>
      <c r="AA168" s="49">
        <f t="shared" si="469"/>
        <v>5457.2588685471201</v>
      </c>
      <c r="AB168" s="49">
        <f t="shared" si="469"/>
        <v>5472.8561870782869</v>
      </c>
      <c r="AC168" s="49">
        <f t="shared" si="469"/>
        <v>5488.4319516354881</v>
      </c>
      <c r="AD168" s="49">
        <f t="shared" si="469"/>
        <v>5503.9831931710451</v>
      </c>
      <c r="AE168" s="49">
        <f t="shared" si="469"/>
        <v>5519.5069383742011</v>
      </c>
      <c r="AF168" s="49">
        <f t="shared" si="469"/>
        <v>5535.0002089406589</v>
      </c>
      <c r="AG168" s="49">
        <f t="shared" si="469"/>
        <v>5550.4600208483662</v>
      </c>
      <c r="AH168" s="49">
        <f t="shared" si="469"/>
        <v>5565.8833836393205</v>
      </c>
      <c r="AI168" s="49">
        <f t="shared" si="469"/>
        <v>5581.267299707175</v>
      </c>
      <c r="AJ168" s="49">
        <f t="shared" si="469"/>
        <v>5596.6087635904078</v>
      </c>
      <c r="AK168" s="49">
        <f t="shared" si="469"/>
        <v>5611.9047612709037</v>
      </c>
      <c r="AL168" s="49">
        <f t="shared" si="469"/>
        <v>5627.1522694776377</v>
      </c>
      <c r="AM168" s="49">
        <f t="shared" si="469"/>
        <v>5642.3482549953733</v>
      </c>
      <c r="AN168" s="49">
        <f t="shared" si="469"/>
        <v>5657.4896739780652</v>
      </c>
      <c r="AO168" s="49">
        <f t="shared" si="469"/>
        <v>5672.5734712668436</v>
      </c>
      <c r="AP168" s="49">
        <f t="shared" si="469"/>
        <v>5687.5965797123281</v>
      </c>
      <c r="AQ168" s="49">
        <f t="shared" si="469"/>
        <v>5702.5559195011374</v>
      </c>
      <c r="AR168" s="49">
        <f t="shared" si="469"/>
        <v>5717.4483974863451</v>
      </c>
      <c r="AS168" s="49">
        <f t="shared" si="469"/>
        <v>5732.2709065217205</v>
      </c>
      <c r="AT168" s="49">
        <f t="shared" si="469"/>
        <v>5747.0203247995923</v>
      </c>
      <c r="AU168" s="49">
        <f t="shared" si="469"/>
        <v>5761.6935151921007</v>
      </c>
      <c r="AV168" s="49">
        <f t="shared" si="469"/>
        <v>5789.2240432796989</v>
      </c>
      <c r="AW168" s="49">
        <f t="shared" si="469"/>
        <v>5787.7084854758159</v>
      </c>
      <c r="AX168" s="49">
        <f t="shared" si="469"/>
        <v>6712.834350277697</v>
      </c>
      <c r="AY168" s="49">
        <f t="shared" si="469"/>
        <v>12999.953324930959</v>
      </c>
    </row>
    <row r="169" spans="1:51" s="62" customFormat="1" ht="13.5" thickBot="1" x14ac:dyDescent="0.35">
      <c r="A169" s="122" t="s">
        <v>186</v>
      </c>
      <c r="B169" s="62" t="s">
        <v>44</v>
      </c>
      <c r="C169" s="48"/>
      <c r="D169" s="69">
        <f>D168</f>
        <v>-1100</v>
      </c>
      <c r="E169" s="48">
        <f>D169+E168</f>
        <v>-11290.90909090909</v>
      </c>
      <c r="F169" s="48">
        <f>E169+F168</f>
        <v>-28754.545454545456</v>
      </c>
      <c r="G169" s="48">
        <f>F169+G168</f>
        <v>-53490.909090909088</v>
      </c>
      <c r="H169" s="48">
        <f>G169+H168</f>
        <v>-65500</v>
      </c>
      <c r="I169" s="48">
        <f>H169+I168</f>
        <v>-87963.636363636368</v>
      </c>
      <c r="J169" s="48">
        <f>I169+J168</f>
        <v>-80870.704659496201</v>
      </c>
      <c r="K169" s="48">
        <f>J169+K168</f>
        <v>-75663.51630484761</v>
      </c>
      <c r="L169" s="48">
        <f>K169+L168</f>
        <v>-70440.78902075041</v>
      </c>
      <c r="M169" s="48">
        <f>L169+M168</f>
        <v>-65202.496812259837</v>
      </c>
      <c r="N169" s="48">
        <f>M169+N168</f>
        <v>-59948.616690635245</v>
      </c>
      <c r="O169" s="48">
        <f>N169+O168</f>
        <v>-54679.128664868505</v>
      </c>
      <c r="P169" s="48">
        <f>O169+P168</f>
        <v>-49394.015734076616</v>
      </c>
      <c r="Q169" s="48">
        <f>P169+Q168</f>
        <v>-44093.263880747996</v>
      </c>
      <c r="R169" s="48">
        <f>Q169+R168</f>
        <v>-38776.862064832458</v>
      </c>
      <c r="S169" s="48">
        <f>R169+S168</f>
        <v>-33444.802218664983</v>
      </c>
      <c r="T169" s="48">
        <f>S169+T168</f>
        <v>-28097.079242713804</v>
      </c>
      <c r="U169" s="48">
        <f>T169+U168</f>
        <v>-22733.691002143507</v>
      </c>
      <c r="V169" s="48">
        <f>U169+V168</f>
        <v>-17354.638324184227</v>
      </c>
      <c r="W169" s="48">
        <f>V169+W168</f>
        <v>-11959.924996298176</v>
      </c>
      <c r="X169" s="48">
        <f>W169+X168</f>
        <v>-6549.5577651351323</v>
      </c>
      <c r="Y169" s="48">
        <f>X169+Y168</f>
        <v>-1123.5463362686569</v>
      </c>
      <c r="Z169" s="48">
        <f>Y169+Z168</f>
        <v>4318.0966252948583</v>
      </c>
      <c r="AA169" s="48">
        <f>Z169+AA168</f>
        <v>9775.3554938419784</v>
      </c>
      <c r="AB169" s="48">
        <f>AA169+AB168</f>
        <v>15248.211680920265</v>
      </c>
      <c r="AC169" s="48">
        <f>AB169+AC168</f>
        <v>20736.643632555752</v>
      </c>
      <c r="AD169" s="48">
        <f>AC169+AD168</f>
        <v>26240.626825726795</v>
      </c>
      <c r="AE169" s="48">
        <f>AD169+AE168</f>
        <v>31760.133764100996</v>
      </c>
      <c r="AF169" s="48">
        <f>AE169+AF168</f>
        <v>37295.133973041651</v>
      </c>
      <c r="AG169" s="48">
        <f>AF169+AG168</f>
        <v>42845.593993890019</v>
      </c>
      <c r="AH169" s="48">
        <f>AG169+AH168</f>
        <v>48411.477377529343</v>
      </c>
      <c r="AI169" s="48">
        <f>AH169+AI168</f>
        <v>53992.744677236522</v>
      </c>
      <c r="AJ169" s="48">
        <f>AI169+AJ168</f>
        <v>59589.353440826933</v>
      </c>
      <c r="AK169" s="48">
        <f>AJ169+AK168</f>
        <v>65201.258202097837</v>
      </c>
      <c r="AL169" s="48">
        <f>AK169+AL168</f>
        <v>70828.41047157548</v>
      </c>
      <c r="AM169" s="48">
        <f>AL169+AM168</f>
        <v>76470.758726570857</v>
      </c>
      <c r="AN169" s="48">
        <f>AM169+AN168</f>
        <v>82128.248400548924</v>
      </c>
      <c r="AO169" s="48">
        <f>AN169+AO168</f>
        <v>87800.821871815773</v>
      </c>
      <c r="AP169" s="48">
        <f>AO169+AP168</f>
        <v>93488.418451528094</v>
      </c>
      <c r="AQ169" s="48">
        <f>AP169+AQ168</f>
        <v>99190.974371029239</v>
      </c>
      <c r="AR169" s="48">
        <f>AQ169+AR168</f>
        <v>104908.42276851558</v>
      </c>
      <c r="AS169" s="48">
        <f>AR169+AS168</f>
        <v>110640.6936750373</v>
      </c>
      <c r="AT169" s="48">
        <f>AS169+AT168</f>
        <v>116387.71399983689</v>
      </c>
      <c r="AU169" s="48">
        <f>AT169+AU168</f>
        <v>122149.407515029</v>
      </c>
      <c r="AV169" s="48">
        <f>AU169+AV168</f>
        <v>127938.6315583087</v>
      </c>
      <c r="AW169" s="48">
        <f>AV169+AW168</f>
        <v>133726.34004378453</v>
      </c>
      <c r="AX169" s="48">
        <f>AW169+AX168</f>
        <v>140439.17439406223</v>
      </c>
      <c r="AY169" s="48">
        <f>AX169+AY168</f>
        <v>153439.12771899317</v>
      </c>
    </row>
    <row r="170" spans="1:51" s="17" customFormat="1" ht="24.5" customHeight="1" thickBot="1" x14ac:dyDescent="0.4">
      <c r="A170" s="20" t="s">
        <v>169</v>
      </c>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row>
    <row r="171" spans="1:51" s="45" customFormat="1" ht="16" thickBot="1" x14ac:dyDescent="0.4">
      <c r="A171" s="24" t="str">
        <f>A170</f>
        <v>Internal Rate of Return  "IRR"</v>
      </c>
      <c r="B171" s="45" t="s">
        <v>168</v>
      </c>
      <c r="C171" s="158">
        <f>IRR(D168:AD168,10%)</f>
        <v>2.1307547588004461E-2</v>
      </c>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row>
    <row r="172" spans="1:51" s="17" customFormat="1" ht="24.5" customHeight="1" x14ac:dyDescent="0.35">
      <c r="A172" s="20" t="s">
        <v>170</v>
      </c>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row>
    <row r="173" spans="1:51" s="7" customFormat="1" ht="13" x14ac:dyDescent="0.3">
      <c r="A173" s="14" t="s">
        <v>196</v>
      </c>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row>
    <row r="174" spans="1:51" s="139" customFormat="1" ht="13.5" thickBot="1" x14ac:dyDescent="0.35">
      <c r="A174" s="152" t="s">
        <v>2</v>
      </c>
      <c r="B174" s="152" t="s">
        <v>30</v>
      </c>
      <c r="C174" s="156"/>
      <c r="D174" s="159">
        <f>(7%+3%)^1/12</f>
        <v>8.3333333333333332E-3</v>
      </c>
      <c r="E174" s="159">
        <f t="shared" ref="E174" si="470">D174</f>
        <v>8.3333333333333332E-3</v>
      </c>
      <c r="F174" s="159">
        <f t="shared" ref="F174" si="471">E174</f>
        <v>8.3333333333333332E-3</v>
      </c>
      <c r="G174" s="159">
        <f t="shared" ref="G174" si="472">F174</f>
        <v>8.3333333333333332E-3</v>
      </c>
      <c r="H174" s="159">
        <f t="shared" ref="H174" si="473">G174</f>
        <v>8.3333333333333332E-3</v>
      </c>
      <c r="I174" s="159">
        <f t="shared" ref="I174" si="474">H174</f>
        <v>8.3333333333333332E-3</v>
      </c>
      <c r="J174" s="159">
        <f t="shared" ref="J174" si="475">I174</f>
        <v>8.3333333333333332E-3</v>
      </c>
      <c r="K174" s="159">
        <f t="shared" ref="K174" si="476">J174</f>
        <v>8.3333333333333332E-3</v>
      </c>
      <c r="L174" s="159">
        <f t="shared" ref="L174" si="477">K174</f>
        <v>8.3333333333333332E-3</v>
      </c>
      <c r="M174" s="159">
        <f t="shared" ref="M174" si="478">L174</f>
        <v>8.3333333333333332E-3</v>
      </c>
      <c r="N174" s="159">
        <f t="shared" ref="N174" si="479">M174</f>
        <v>8.3333333333333332E-3</v>
      </c>
      <c r="O174" s="159">
        <f t="shared" ref="O174" si="480">N174</f>
        <v>8.3333333333333332E-3</v>
      </c>
      <c r="P174" s="159">
        <f t="shared" ref="P174" si="481">O174</f>
        <v>8.3333333333333332E-3</v>
      </c>
      <c r="Q174" s="159">
        <f t="shared" ref="Q174" si="482">P174</f>
        <v>8.3333333333333332E-3</v>
      </c>
      <c r="R174" s="159">
        <f t="shared" ref="R174" si="483">Q174</f>
        <v>8.3333333333333332E-3</v>
      </c>
      <c r="S174" s="159">
        <f t="shared" ref="S174" si="484">R174</f>
        <v>8.3333333333333332E-3</v>
      </c>
      <c r="T174" s="159">
        <f t="shared" ref="T174" si="485">S174</f>
        <v>8.3333333333333332E-3</v>
      </c>
      <c r="U174" s="159">
        <f t="shared" ref="U174" si="486">T174</f>
        <v>8.3333333333333332E-3</v>
      </c>
      <c r="V174" s="159">
        <f t="shared" ref="V174" si="487">U174</f>
        <v>8.3333333333333332E-3</v>
      </c>
      <c r="W174" s="159">
        <f t="shared" ref="W174" si="488">V174</f>
        <v>8.3333333333333332E-3</v>
      </c>
      <c r="X174" s="159">
        <f t="shared" ref="X174" si="489">W174</f>
        <v>8.3333333333333332E-3</v>
      </c>
      <c r="Y174" s="159">
        <f t="shared" ref="Y174" si="490">X174</f>
        <v>8.3333333333333332E-3</v>
      </c>
      <c r="Z174" s="159">
        <f t="shared" ref="Z174" si="491">Y174</f>
        <v>8.3333333333333332E-3</v>
      </c>
      <c r="AA174" s="159">
        <f t="shared" ref="AA174" si="492">Z174</f>
        <v>8.3333333333333332E-3</v>
      </c>
      <c r="AB174" s="159">
        <f t="shared" ref="AB174" si="493">AA174</f>
        <v>8.3333333333333332E-3</v>
      </c>
      <c r="AC174" s="159">
        <f t="shared" ref="AC174" si="494">AB174</f>
        <v>8.3333333333333332E-3</v>
      </c>
      <c r="AD174" s="159">
        <f t="shared" ref="AD174" si="495">AC174</f>
        <v>8.3333333333333332E-3</v>
      </c>
      <c r="AE174" s="159">
        <f t="shared" ref="AE174" si="496">AD174</f>
        <v>8.3333333333333332E-3</v>
      </c>
      <c r="AF174" s="159">
        <f t="shared" ref="AF174" si="497">AE174</f>
        <v>8.3333333333333332E-3</v>
      </c>
      <c r="AG174" s="159">
        <f t="shared" ref="AG174" si="498">AF174</f>
        <v>8.3333333333333332E-3</v>
      </c>
      <c r="AH174" s="159">
        <f t="shared" ref="AH174" si="499">AG174</f>
        <v>8.3333333333333332E-3</v>
      </c>
      <c r="AI174" s="159">
        <f t="shared" ref="AI174" si="500">AH174</f>
        <v>8.3333333333333332E-3</v>
      </c>
      <c r="AJ174" s="159">
        <f t="shared" ref="AJ174" si="501">AI174</f>
        <v>8.3333333333333332E-3</v>
      </c>
      <c r="AK174" s="159">
        <f t="shared" ref="AK174" si="502">AJ174</f>
        <v>8.3333333333333332E-3</v>
      </c>
      <c r="AL174" s="159">
        <f t="shared" ref="AL174" si="503">AK174</f>
        <v>8.3333333333333332E-3</v>
      </c>
      <c r="AM174" s="159">
        <f t="shared" ref="AM174" si="504">AL174</f>
        <v>8.3333333333333332E-3</v>
      </c>
      <c r="AN174" s="159">
        <f t="shared" ref="AN174" si="505">AM174</f>
        <v>8.3333333333333332E-3</v>
      </c>
      <c r="AO174" s="159">
        <f t="shared" ref="AO174" si="506">AN174</f>
        <v>8.3333333333333332E-3</v>
      </c>
      <c r="AP174" s="159">
        <f t="shared" ref="AP174" si="507">AO174</f>
        <v>8.3333333333333332E-3</v>
      </c>
      <c r="AQ174" s="159">
        <f t="shared" ref="AQ174" si="508">AP174</f>
        <v>8.3333333333333332E-3</v>
      </c>
      <c r="AR174" s="159">
        <f t="shared" ref="AR174" si="509">AQ174</f>
        <v>8.3333333333333332E-3</v>
      </c>
      <c r="AS174" s="159">
        <f t="shared" ref="AS174" si="510">AR174</f>
        <v>8.3333333333333332E-3</v>
      </c>
      <c r="AT174" s="159">
        <f t="shared" ref="AT174" si="511">AS174</f>
        <v>8.3333333333333332E-3</v>
      </c>
      <c r="AU174" s="159">
        <f t="shared" ref="AU174" si="512">AT174</f>
        <v>8.3333333333333332E-3</v>
      </c>
      <c r="AV174" s="159">
        <f t="shared" ref="AV174" si="513">AU174</f>
        <v>8.3333333333333332E-3</v>
      </c>
      <c r="AW174" s="159">
        <f t="shared" ref="AW174" si="514">AV174</f>
        <v>8.3333333333333332E-3</v>
      </c>
      <c r="AX174" s="159">
        <f t="shared" ref="AX174" si="515">AW174</f>
        <v>8.3333333333333332E-3</v>
      </c>
      <c r="AY174" s="159">
        <f t="shared" ref="AY174" si="516">AX174</f>
        <v>8.3333333333333332E-3</v>
      </c>
    </row>
    <row r="175" spans="1:51" s="7" customFormat="1" ht="13.5" thickBot="1" x14ac:dyDescent="0.35">
      <c r="A175" s="7" t="s">
        <v>12</v>
      </c>
      <c r="C175" s="39"/>
      <c r="D175" s="65">
        <f>1/(1+D174)^0.5</f>
        <v>0.99585919546393831</v>
      </c>
      <c r="E175" s="64">
        <f t="shared" ref="E175" si="517">D175/(1+E174)</f>
        <v>0.98762895417911245</v>
      </c>
      <c r="F175" s="64">
        <f t="shared" ref="F175" si="518">E175/(1+F174)</f>
        <v>0.97946673141730167</v>
      </c>
      <c r="G175" s="64">
        <f t="shared" ref="G175" si="519">F175/(1+G174)</f>
        <v>0.97137196504195211</v>
      </c>
      <c r="H175" s="64">
        <f t="shared" ref="H175" si="520">G175/(1+H174)</f>
        <v>0.96334409756226658</v>
      </c>
      <c r="I175" s="64">
        <f t="shared" ref="I175" si="521">H175/(1+I174)</f>
        <v>0.95538257609480981</v>
      </c>
      <c r="J175" s="64">
        <f t="shared" ref="J175" si="522">I175/(1+J174)</f>
        <v>0.94748685232543128</v>
      </c>
      <c r="K175" s="64">
        <f t="shared" ref="K175" si="523">J175/(1+K174)</f>
        <v>0.93965638247150207</v>
      </c>
      <c r="L175" s="64">
        <f t="shared" ref="L175" si="524">K175/(1+L174)</f>
        <v>0.93189062724446492</v>
      </c>
      <c r="M175" s="64">
        <f t="shared" ref="M175" si="525">L175/(1+M174)</f>
        <v>0.92418905181269251</v>
      </c>
      <c r="N175" s="64">
        <f t="shared" ref="N175" si="526">M175/(1+N174)</f>
        <v>0.91655112576465381</v>
      </c>
      <c r="O175" s="64">
        <f t="shared" ref="O175" si="527">N175/(1+O174)</f>
        <v>0.90897632307238396</v>
      </c>
      <c r="P175" s="64">
        <f t="shared" ref="P175" si="528">O175/(1+P174)</f>
        <v>0.90146412205525683</v>
      </c>
      <c r="Q175" s="64">
        <f t="shared" ref="Q175" si="529">P175/(1+Q174)</f>
        <v>0.89401400534405639</v>
      </c>
      <c r="R175" s="64">
        <f t="shared" ref="R175" si="530">Q175/(1+R174)</f>
        <v>0.88662545984534524</v>
      </c>
      <c r="S175" s="64">
        <f t="shared" ref="S175" si="531">R175/(1+S174)</f>
        <v>0.87929797670612753</v>
      </c>
      <c r="T175" s="64">
        <f t="shared" ref="T175" si="532">S175/(1+T174)</f>
        <v>0.8720310512788042</v>
      </c>
      <c r="U175" s="64">
        <f t="shared" ref="U175" si="533">T175/(1+U174)</f>
        <v>0.8648241830864174</v>
      </c>
      <c r="V175" s="64">
        <f t="shared" ref="V175" si="534">U175/(1+V174)</f>
        <v>0.85767687578818252</v>
      </c>
      <c r="W175" s="64">
        <f t="shared" ref="W175" si="535">V175/(1+W174)</f>
        <v>0.85058863714530497</v>
      </c>
      <c r="X175" s="64">
        <f t="shared" ref="X175" si="536">W175/(1+X174)</f>
        <v>0.84355897898707932</v>
      </c>
      <c r="Y175" s="64">
        <f t="shared" ref="Y175" si="537">X175/(1+Y174)</f>
        <v>0.83658741717726881</v>
      </c>
      <c r="Z175" s="64">
        <f t="shared" ref="Z175" si="538">Y175/(1+Z174)</f>
        <v>0.82967347158076243</v>
      </c>
      <c r="AA175" s="64">
        <f t="shared" ref="AA175" si="539">Z175/(1+AA174)</f>
        <v>0.82281666603050818</v>
      </c>
      <c r="AB175" s="64">
        <f t="shared" ref="AB175" si="540">AA175/(1+AB174)</f>
        <v>0.81601652829471893</v>
      </c>
      <c r="AC175" s="64">
        <f t="shared" ref="AC175" si="541">AB175/(1+AC174)</f>
        <v>0.80927259004434937</v>
      </c>
      <c r="AD175" s="64">
        <f t="shared" ref="AD175" si="542">AC175/(1+AD174)</f>
        <v>0.80258438682084232</v>
      </c>
      <c r="AE175" s="64">
        <f t="shared" ref="AE175" si="543">AD175/(1+AE174)</f>
        <v>0.79595145800414113</v>
      </c>
      <c r="AF175" s="64">
        <f t="shared" ref="AF175" si="544">AE175/(1+AF174)</f>
        <v>0.78937334678096649</v>
      </c>
      <c r="AG175" s="64">
        <f t="shared" ref="AG175" si="545">AF175/(1+AG174)</f>
        <v>0.78284960011335525</v>
      </c>
      <c r="AH175" s="64">
        <f t="shared" ref="AH175" si="546">AG175/(1+AH174)</f>
        <v>0.77637976870745973</v>
      </c>
      <c r="AI175" s="64">
        <f t="shared" ref="AI175" si="547">AH175/(1+AI174)</f>
        <v>0.76996340698260468</v>
      </c>
      <c r="AJ175" s="64">
        <f t="shared" ref="AJ175" si="548">AI175/(1+AJ174)</f>
        <v>0.76360007304059974</v>
      </c>
      <c r="AK175" s="64">
        <f t="shared" ref="AK175" si="549">AJ175/(1+AK174)</f>
        <v>0.75728932863530551</v>
      </c>
      <c r="AL175" s="64">
        <f t="shared" ref="AL175" si="550">AK175/(1+AL174)</f>
        <v>0.75103073914245178</v>
      </c>
      <c r="AM175" s="64">
        <f t="shared" ref="AM175" si="551">AL175/(1+AM174)</f>
        <v>0.74482387352970425</v>
      </c>
      <c r="AN175" s="64">
        <f t="shared" ref="AN175" si="552">AM175/(1+AN174)</f>
        <v>0.7386683043269795</v>
      </c>
      <c r="AO175" s="64">
        <f t="shared" ref="AO175" si="553">AN175/(1+AO174)</f>
        <v>0.73256360759700445</v>
      </c>
      <c r="AP175" s="64">
        <f t="shared" ref="AP175" si="554">AO175/(1+AP174)</f>
        <v>0.72650936290612012</v>
      </c>
      <c r="AQ175" s="64">
        <f t="shared" ref="AQ175" si="555">AP175/(1+AQ174)</f>
        <v>0.72050515329532572</v>
      </c>
      <c r="AR175" s="64">
        <f t="shared" ref="AR175" si="556">AQ175/(1+AR174)</f>
        <v>0.71455056525156269</v>
      </c>
      <c r="AS175" s="64">
        <f t="shared" ref="AS175" si="557">AR175/(1+AS174)</f>
        <v>0.70864518867923576</v>
      </c>
      <c r="AT175" s="64">
        <f t="shared" ref="AT175" si="558">AS175/(1+AT174)</f>
        <v>0.70278861687196936</v>
      </c>
      <c r="AU175" s="64">
        <f t="shared" ref="AU175" si="559">AT175/(1+AU174)</f>
        <v>0.69698044648459778</v>
      </c>
      <c r="AV175" s="64">
        <f t="shared" ref="AV175" si="560">AU175/(1+AV174)</f>
        <v>0.69122027750538628</v>
      </c>
      <c r="AW175" s="64">
        <f t="shared" ref="AW175" si="561">AV175/(1+AW174)</f>
        <v>0.68550771322848225</v>
      </c>
      <c r="AX175" s="64">
        <f t="shared" ref="AX175" si="562">AW175/(1+AX174)</f>
        <v>0.67984236022659394</v>
      </c>
      <c r="AY175" s="64">
        <f t="shared" ref="AY175" si="563">AX175/(1+AY174)</f>
        <v>0.67422382832389482</v>
      </c>
    </row>
    <row r="176" spans="1:51" s="62" customFormat="1" ht="13.5" thickBot="1" x14ac:dyDescent="0.35">
      <c r="A176" s="63" t="s">
        <v>173</v>
      </c>
      <c r="B176" s="62" t="s">
        <v>47</v>
      </c>
      <c r="C176" s="48">
        <f>SUM(D176:AY176)</f>
        <v>107199.52384472742</v>
      </c>
      <c r="D176" s="48">
        <f>D168*D175</f>
        <v>-1095.4451150103321</v>
      </c>
      <c r="E176" s="48">
        <f>E168*E175</f>
        <v>-10064.836887588954</v>
      </c>
      <c r="F176" s="48">
        <f>F168*F175</f>
        <v>-17105.050827751242</v>
      </c>
      <c r="G176" s="48">
        <f>G168*G175</f>
        <v>-24028.210153446835</v>
      </c>
      <c r="H176" s="48">
        <f>H168*H175</f>
        <v>-11568.886844361401</v>
      </c>
      <c r="I176" s="48">
        <f>I168*I175</f>
        <v>-21461.366777547955</v>
      </c>
      <c r="J176" s="48">
        <f>J168*J175</f>
        <v>6720.4595341150234</v>
      </c>
      <c r="K176" s="48">
        <f>K168*K175</f>
        <v>4892.9677721768303</v>
      </c>
      <c r="L176" s="48">
        <f>L168*L175</f>
        <v>4867.0106047041236</v>
      </c>
      <c r="M176" s="48">
        <f>M168*M175</f>
        <v>4841.172309282716</v>
      </c>
      <c r="N176" s="48">
        <f>N168*N175</f>
        <v>4815.449740107556</v>
      </c>
      <c r="O176" s="48">
        <f>O168*O175</f>
        <v>4789.8398501354031</v>
      </c>
      <c r="P176" s="48">
        <f>P168*P175</f>
        <v>4764.3396881191939</v>
      </c>
      <c r="Q176" s="48">
        <f>Q168*Q175</f>
        <v>4738.9463957292483</v>
      </c>
      <c r="R176" s="48">
        <f>R168*R175</f>
        <v>4713.6572047587424</v>
      </c>
      <c r="S176" s="48">
        <f>S168*S175</f>
        <v>4688.4694344110439</v>
      </c>
      <c r="T176" s="48">
        <f>T168*T175</f>
        <v>4663.3804886665221</v>
      </c>
      <c r="U176" s="48">
        <f>U168*U175</f>
        <v>4638.3878537265045</v>
      </c>
      <c r="V176" s="48">
        <f>V168*V175</f>
        <v>4613.4890955321735</v>
      </c>
      <c r="W176" s="48">
        <f>W168*W175</f>
        <v>4588.6818573562086</v>
      </c>
      <c r="X176" s="48">
        <f>X168*X175</f>
        <v>4563.963857465048</v>
      </c>
      <c r="Y176" s="48">
        <f>Y168*Y175</f>
        <v>4539.3328868497465</v>
      </c>
      <c r="Z176" s="48">
        <f>Z168*Z175</f>
        <v>4514.7868070234226</v>
      </c>
      <c r="AA176" s="48">
        <f>AA168*AA175</f>
        <v>4490.3235478833649</v>
      </c>
      <c r="AB176" s="48">
        <f>AB168*AB175</f>
        <v>4465.9411056358967</v>
      </c>
      <c r="AC176" s="48">
        <f>AC168*AC175</f>
        <v>4441.6375407822143</v>
      </c>
      <c r="AD176" s="48">
        <f>AD168*AD175</f>
        <v>4417.4109761634045</v>
      </c>
      <c r="AE176" s="48">
        <f>AE168*AE175</f>
        <v>4393.2595950629184</v>
      </c>
      <c r="AF176" s="48">
        <f>AF168*AF175</f>
        <v>4369.1816393648369</v>
      </c>
      <c r="AG176" s="48">
        <f>AG168*AG175</f>
        <v>4345.175407766309</v>
      </c>
      <c r="AH176" s="48">
        <f>AH168*AH175</f>
        <v>4321.239254042589</v>
      </c>
      <c r="AI176" s="48">
        <f>AI168*AI175</f>
        <v>4297.3715853631384</v>
      </c>
      <c r="AJ176" s="48">
        <f>AJ168*AJ175</f>
        <v>4273.5708606572962</v>
      </c>
      <c r="AK176" s="48">
        <f>AK168*AK175</f>
        <v>4249.8355890281173</v>
      </c>
      <c r="AL176" s="48">
        <f>AL168*AL175</f>
        <v>4226.1643282129153</v>
      </c>
      <c r="AM176" s="48">
        <f>AM168*AM175</f>
        <v>4202.555683089221</v>
      </c>
      <c r="AN176" s="48">
        <f>AN168*AN175</f>
        <v>4179.0083042247734</v>
      </c>
      <c r="AO176" s="48">
        <f>AO168*AO175</f>
        <v>4155.5208864703018</v>
      </c>
      <c r="AP176" s="48">
        <f>AP168*AP175</f>
        <v>4132.0921675938316</v>
      </c>
      <c r="AQ176" s="48">
        <f>AQ168*AQ175</f>
        <v>4108.7209269553341</v>
      </c>
      <c r="AR176" s="48">
        <f>AR168*AR175</f>
        <v>4085.4059842205093</v>
      </c>
      <c r="AS176" s="48">
        <f>AS168*AS175</f>
        <v>4062.1461981125785</v>
      </c>
      <c r="AT176" s="48">
        <f>AT168*AT175</f>
        <v>4038.9404652010016</v>
      </c>
      <c r="AU176" s="48">
        <f>AU168*AU175</f>
        <v>4015.7877187260019</v>
      </c>
      <c r="AV176" s="48">
        <f>AV168*AV175</f>
        <v>4001.6290497366481</v>
      </c>
      <c r="AW176" s="48">
        <f>AW168*AW175</f>
        <v>3967.5188087116089</v>
      </c>
      <c r="AX176" s="48">
        <f>AX168*AX175</f>
        <v>4563.6691485029442</v>
      </c>
      <c r="AY176" s="48">
        <f>AY168*AY175</f>
        <v>8764.8782987668965</v>
      </c>
    </row>
    <row r="177" spans="1:51" s="62" customFormat="1" ht="13.5" thickBot="1" x14ac:dyDescent="0.35">
      <c r="A177" s="62" t="s">
        <v>172</v>
      </c>
      <c r="B177" s="62" t="s">
        <v>47</v>
      </c>
      <c r="C177" s="53"/>
      <c r="D177" s="66">
        <f>D176</f>
        <v>-1095.4451150103321</v>
      </c>
      <c r="E177" s="53">
        <f t="shared" ref="E177:V177" si="564">D177+E176</f>
        <v>-11160.282002599286</v>
      </c>
      <c r="F177" s="53">
        <f t="shared" si="564"/>
        <v>-28265.332830350526</v>
      </c>
      <c r="G177" s="53">
        <f t="shared" si="564"/>
        <v>-52293.542983797364</v>
      </c>
      <c r="H177" s="53">
        <f t="shared" si="564"/>
        <v>-63862.429828158769</v>
      </c>
      <c r="I177" s="53">
        <f t="shared" si="564"/>
        <v>-85323.796605706724</v>
      </c>
      <c r="J177" s="53">
        <f t="shared" si="564"/>
        <v>-78603.337071591697</v>
      </c>
      <c r="K177" s="53">
        <f t="shared" si="564"/>
        <v>-73710.369299414873</v>
      </c>
      <c r="L177" s="53">
        <f t="shared" si="564"/>
        <v>-68843.358694710754</v>
      </c>
      <c r="M177" s="53">
        <f t="shared" si="564"/>
        <v>-64002.186385428038</v>
      </c>
      <c r="N177" s="53">
        <f t="shared" si="564"/>
        <v>-59186.736645320481</v>
      </c>
      <c r="O177" s="53">
        <f t="shared" si="564"/>
        <v>-54396.896795185079</v>
      </c>
      <c r="P177" s="53">
        <f t="shared" si="564"/>
        <v>-49632.557107065884</v>
      </c>
      <c r="Q177" s="53">
        <f t="shared" si="564"/>
        <v>-44893.610711336638</v>
      </c>
      <c r="R177" s="53">
        <f t="shared" si="564"/>
        <v>-40179.953506577898</v>
      </c>
      <c r="S177" s="53">
        <f t="shared" si="564"/>
        <v>-35491.484072166852</v>
      </c>
      <c r="T177" s="53">
        <f t="shared" si="564"/>
        <v>-30828.103583500328</v>
      </c>
      <c r="U177" s="53">
        <f t="shared" si="564"/>
        <v>-26189.715729773823</v>
      </c>
      <c r="V177" s="53">
        <f t="shared" si="564"/>
        <v>-21576.226634241648</v>
      </c>
      <c r="W177" s="53">
        <f t="shared" ref="W177" si="565">V177+W176</f>
        <v>-16987.544776885439</v>
      </c>
      <c r="X177" s="53">
        <f t="shared" ref="X177" si="566">W177+X176</f>
        <v>-12423.58091942039</v>
      </c>
      <c r="Y177" s="53">
        <f t="shared" ref="Y177" si="567">X177+Y176</f>
        <v>-7884.2480325706438</v>
      </c>
      <c r="Z177" s="53">
        <f t="shared" ref="Z177" si="568">Y177+Z176</f>
        <v>-3369.4612255472211</v>
      </c>
      <c r="AA177" s="53">
        <f t="shared" ref="AA177" si="569">Z177+AA176</f>
        <v>1120.8623223361437</v>
      </c>
      <c r="AB177" s="53">
        <f t="shared" ref="AB177" si="570">AA177+AB176</f>
        <v>5586.8034279720405</v>
      </c>
      <c r="AC177" s="53">
        <f t="shared" ref="AC177" si="571">AB177+AC176</f>
        <v>10028.440968754254</v>
      </c>
      <c r="AD177" s="53">
        <f t="shared" ref="AD177" si="572">AC177+AD176</f>
        <v>14445.851944917658</v>
      </c>
      <c r="AE177" s="53">
        <f t="shared" ref="AE177" si="573">AD177+AE176</f>
        <v>18839.111539980579</v>
      </c>
      <c r="AF177" s="53">
        <f t="shared" ref="AF177" si="574">AE177+AF176</f>
        <v>23208.293179345415</v>
      </c>
      <c r="AG177" s="53">
        <f t="shared" ref="AG177" si="575">AF177+AG176</f>
        <v>27553.468587111725</v>
      </c>
      <c r="AH177" s="53">
        <f t="shared" ref="AH177" si="576">AG177+AH176</f>
        <v>31874.707841154315</v>
      </c>
      <c r="AI177" s="53">
        <f t="shared" ref="AI177" si="577">AH177+AI176</f>
        <v>36172.079426517455</v>
      </c>
      <c r="AJ177" s="53">
        <f t="shared" ref="AJ177" si="578">AI177+AJ176</f>
        <v>40445.650287174751</v>
      </c>
      <c r="AK177" s="53">
        <f t="shared" ref="AK177" si="579">AJ177+AK176</f>
        <v>44695.485876202867</v>
      </c>
      <c r="AL177" s="53">
        <f t="shared" ref="AL177" si="580">AK177+AL176</f>
        <v>48921.650204415782</v>
      </c>
      <c r="AM177" s="53">
        <f t="shared" ref="AM177" si="581">AL177+AM176</f>
        <v>53124.205887505006</v>
      </c>
      <c r="AN177" s="53">
        <f t="shared" ref="AN177" si="582">AM177+AN176</f>
        <v>57303.214191729778</v>
      </c>
      <c r="AO177" s="53">
        <f t="shared" ref="AO177" si="583">AN177+AO176</f>
        <v>61458.735078200079</v>
      </c>
      <c r="AP177" s="53">
        <f t="shared" ref="AP177" si="584">AO177+AP176</f>
        <v>65590.827245793917</v>
      </c>
      <c r="AQ177" s="53">
        <f t="shared" ref="AQ177" si="585">AP177+AQ176</f>
        <v>69699.548172749244</v>
      </c>
      <c r="AR177" s="53">
        <f t="shared" ref="AR177" si="586">AQ177+AR176</f>
        <v>73784.954156969747</v>
      </c>
      <c r="AS177" s="53">
        <f t="shared" ref="AS177" si="587">AR177+AS176</f>
        <v>77847.100355082322</v>
      </c>
      <c r="AT177" s="53">
        <f t="shared" ref="AT177" si="588">AS177+AT176</f>
        <v>81886.04082028332</v>
      </c>
      <c r="AU177" s="53">
        <f t="shared" ref="AU177" si="589">AT177+AU176</f>
        <v>85901.828539009322</v>
      </c>
      <c r="AV177" s="53">
        <f t="shared" ref="AV177" si="590">AU177+AV176</f>
        <v>89903.457588745965</v>
      </c>
      <c r="AW177" s="53">
        <f t="shared" ref="AW177" si="591">AV177+AW176</f>
        <v>93870.976397457576</v>
      </c>
      <c r="AX177" s="53">
        <f t="shared" ref="AX177" si="592">AW177+AX176</f>
        <v>98434.64554596052</v>
      </c>
      <c r="AY177" s="53">
        <f t="shared" ref="AY177" si="593">AX177+AY176</f>
        <v>107199.52384472742</v>
      </c>
    </row>
    <row r="178" spans="1:51" s="62" customFormat="1" x14ac:dyDescent="0.35">
      <c r="A178" s="24" t="s">
        <v>139</v>
      </c>
      <c r="B178" s="62" t="s">
        <v>47</v>
      </c>
      <c r="C178" s="25">
        <f>SUM(D176:AY176)</f>
        <v>107199.52384472742</v>
      </c>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row>
    <row r="179" spans="1:51" s="36" customFormat="1" ht="24.5" customHeight="1" x14ac:dyDescent="0.3">
      <c r="A179" s="36" t="str">
        <f t="shared" ref="A179:AF179" si="594">A$60</f>
        <v>Months --&gt;</v>
      </c>
      <c r="B179" s="36" t="str">
        <f t="shared" si="594"/>
        <v>units</v>
      </c>
      <c r="C179" s="36" t="str">
        <f t="shared" si="594"/>
        <v>Total</v>
      </c>
      <c r="D179" s="51">
        <f t="shared" si="594"/>
        <v>46113</v>
      </c>
      <c r="E179" s="51">
        <f t="shared" si="594"/>
        <v>46144</v>
      </c>
      <c r="F179" s="51">
        <f t="shared" si="594"/>
        <v>46175</v>
      </c>
      <c r="G179" s="51">
        <f t="shared" si="594"/>
        <v>46206</v>
      </c>
      <c r="H179" s="51">
        <f t="shared" si="594"/>
        <v>46237</v>
      </c>
      <c r="I179" s="51">
        <f t="shared" si="594"/>
        <v>46268</v>
      </c>
      <c r="J179" s="51">
        <f t="shared" si="594"/>
        <v>46299</v>
      </c>
      <c r="K179" s="51">
        <f t="shared" si="594"/>
        <v>46330</v>
      </c>
      <c r="L179" s="51">
        <f t="shared" si="594"/>
        <v>46361</v>
      </c>
      <c r="M179" s="51">
        <f t="shared" si="594"/>
        <v>46392</v>
      </c>
      <c r="N179" s="51">
        <f t="shared" si="594"/>
        <v>46423</v>
      </c>
      <c r="O179" s="51">
        <f t="shared" si="594"/>
        <v>46454</v>
      </c>
      <c r="P179" s="51">
        <f t="shared" si="594"/>
        <v>46485</v>
      </c>
      <c r="Q179" s="51">
        <f t="shared" si="594"/>
        <v>46516</v>
      </c>
      <c r="R179" s="51">
        <f t="shared" si="594"/>
        <v>46547</v>
      </c>
      <c r="S179" s="51">
        <f t="shared" si="594"/>
        <v>46578</v>
      </c>
      <c r="T179" s="51">
        <f t="shared" si="594"/>
        <v>46609</v>
      </c>
      <c r="U179" s="51">
        <f t="shared" si="594"/>
        <v>46640</v>
      </c>
      <c r="V179" s="51">
        <f t="shared" si="594"/>
        <v>46671</v>
      </c>
      <c r="W179" s="51">
        <f t="shared" si="594"/>
        <v>46702</v>
      </c>
      <c r="X179" s="51">
        <f t="shared" si="594"/>
        <v>46733</v>
      </c>
      <c r="Y179" s="51">
        <f t="shared" si="594"/>
        <v>46764</v>
      </c>
      <c r="Z179" s="51">
        <f t="shared" si="594"/>
        <v>46795</v>
      </c>
      <c r="AA179" s="51">
        <f t="shared" si="594"/>
        <v>46826</v>
      </c>
      <c r="AB179" s="51">
        <f t="shared" si="594"/>
        <v>46857</v>
      </c>
      <c r="AC179" s="51">
        <f t="shared" si="594"/>
        <v>46888</v>
      </c>
      <c r="AD179" s="51">
        <f t="shared" si="594"/>
        <v>46919</v>
      </c>
      <c r="AE179" s="51">
        <f t="shared" si="594"/>
        <v>46950</v>
      </c>
      <c r="AF179" s="51">
        <f t="shared" si="594"/>
        <v>46981</v>
      </c>
      <c r="AG179" s="51">
        <f t="shared" ref="AG179:AY179" si="595">AG$60</f>
        <v>47012</v>
      </c>
      <c r="AH179" s="51">
        <f t="shared" si="595"/>
        <v>47043</v>
      </c>
      <c r="AI179" s="51">
        <f t="shared" si="595"/>
        <v>47074</v>
      </c>
      <c r="AJ179" s="51">
        <f t="shared" si="595"/>
        <v>47105</v>
      </c>
      <c r="AK179" s="51">
        <f t="shared" si="595"/>
        <v>47136</v>
      </c>
      <c r="AL179" s="51">
        <f t="shared" si="595"/>
        <v>47167</v>
      </c>
      <c r="AM179" s="51">
        <f t="shared" si="595"/>
        <v>47198</v>
      </c>
      <c r="AN179" s="51">
        <f t="shared" si="595"/>
        <v>47229</v>
      </c>
      <c r="AO179" s="51">
        <f t="shared" si="595"/>
        <v>47260</v>
      </c>
      <c r="AP179" s="51">
        <f t="shared" si="595"/>
        <v>47291</v>
      </c>
      <c r="AQ179" s="51">
        <f t="shared" si="595"/>
        <v>47322</v>
      </c>
      <c r="AR179" s="51">
        <f t="shared" si="595"/>
        <v>47353</v>
      </c>
      <c r="AS179" s="51">
        <f t="shared" si="595"/>
        <v>47384</v>
      </c>
      <c r="AT179" s="51">
        <f t="shared" si="595"/>
        <v>47415</v>
      </c>
      <c r="AU179" s="51">
        <f t="shared" si="595"/>
        <v>47446</v>
      </c>
      <c r="AV179" s="51">
        <f t="shared" si="595"/>
        <v>47477</v>
      </c>
      <c r="AW179" s="51">
        <f t="shared" si="595"/>
        <v>47508</v>
      </c>
      <c r="AX179" s="51">
        <f t="shared" si="595"/>
        <v>47539</v>
      </c>
      <c r="AY179" s="51">
        <f t="shared" si="595"/>
        <v>47570</v>
      </c>
    </row>
    <row r="180" spans="1:51" ht="205.5" customHeight="1" x14ac:dyDescent="0.35">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row>
    <row r="181" spans="1:51" ht="45" customHeight="1" x14ac:dyDescent="0.35">
      <c r="A181" s="20" t="s">
        <v>15</v>
      </c>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row>
    <row r="182" spans="1:51" s="150" customFormat="1" ht="21.65" customHeight="1" x14ac:dyDescent="0.35">
      <c r="A182" s="150" t="str">
        <f>'business model (in Real terms)'!A$60</f>
        <v>Months --&gt;</v>
      </c>
      <c r="B182" s="17" t="str">
        <f>'business model (in Real terms)'!B$60</f>
        <v>units</v>
      </c>
      <c r="C182" s="127" t="str">
        <f>'business model (in Real terms)'!C$60</f>
        <v>Total</v>
      </c>
      <c r="D182" s="70">
        <f>'business model (in Real terms)'!D$60</f>
        <v>46113</v>
      </c>
      <c r="E182" s="70">
        <f>'business model (in Real terms)'!E$60</f>
        <v>46144</v>
      </c>
      <c r="F182" s="70">
        <f>'business model (in Real terms)'!F$60</f>
        <v>46175</v>
      </c>
      <c r="G182" s="70">
        <f>'business model (in Real terms)'!G$60</f>
        <v>46206</v>
      </c>
      <c r="H182" s="70">
        <f>'business model (in Real terms)'!H$60</f>
        <v>46237</v>
      </c>
      <c r="I182" s="70">
        <f>'business model (in Real terms)'!I$60</f>
        <v>46268</v>
      </c>
      <c r="J182" s="70">
        <f>'business model (in Real terms)'!J$60</f>
        <v>46299</v>
      </c>
      <c r="K182" s="70">
        <f>'business model (in Real terms)'!K$60</f>
        <v>46330</v>
      </c>
      <c r="L182" s="70">
        <f>'business model (in Real terms)'!L$60</f>
        <v>46361</v>
      </c>
      <c r="M182" s="70">
        <f>'business model (in Real terms)'!M$60</f>
        <v>46392</v>
      </c>
      <c r="N182" s="70">
        <f>'business model (in Real terms)'!N$60</f>
        <v>46423</v>
      </c>
      <c r="O182" s="70">
        <f>'business model (in Real terms)'!O$60</f>
        <v>46454</v>
      </c>
      <c r="P182" s="70">
        <f>'business model (in Real terms)'!P$60</f>
        <v>46485</v>
      </c>
      <c r="Q182" s="70">
        <f>'business model (in Real terms)'!Q$60</f>
        <v>46516</v>
      </c>
      <c r="R182" s="70">
        <f>'business model (in Real terms)'!R$60</f>
        <v>46547</v>
      </c>
      <c r="S182" s="70">
        <f>'business model (in Real terms)'!S$60</f>
        <v>46578</v>
      </c>
      <c r="T182" s="70">
        <f>'business model (in Real terms)'!T$60</f>
        <v>46609</v>
      </c>
      <c r="U182" s="70">
        <f>'business model (in Real terms)'!U$60</f>
        <v>46640</v>
      </c>
      <c r="V182" s="70">
        <f>'business model (in Real terms)'!V$60</f>
        <v>46671</v>
      </c>
      <c r="W182" s="70">
        <f>'business model (in Real terms)'!W$60</f>
        <v>46702</v>
      </c>
      <c r="X182" s="70">
        <f>'business model (in Real terms)'!X$60</f>
        <v>46733</v>
      </c>
      <c r="Y182" s="70">
        <f>'business model (in Real terms)'!Y$60</f>
        <v>46764</v>
      </c>
      <c r="Z182" s="70">
        <f>'business model (in Real terms)'!Z$60</f>
        <v>46795</v>
      </c>
      <c r="AA182" s="70">
        <f>'business model (in Real terms)'!AA$60</f>
        <v>46826</v>
      </c>
      <c r="AB182" s="70">
        <f>'business model (in Real terms)'!AB$60</f>
        <v>46857</v>
      </c>
      <c r="AC182" s="70">
        <f>'business model (in Real terms)'!AC$60</f>
        <v>46888</v>
      </c>
      <c r="AD182" s="70">
        <f>'business model (in Real terms)'!AD$60</f>
        <v>46919</v>
      </c>
      <c r="AE182" s="70">
        <f>'business model (in Real terms)'!AE$60</f>
        <v>46950</v>
      </c>
      <c r="AF182" s="70">
        <f>'business model (in Real terms)'!AF$60</f>
        <v>46981</v>
      </c>
      <c r="AG182" s="70">
        <f>'business model (in Real terms)'!AG$60</f>
        <v>47012</v>
      </c>
      <c r="AH182" s="70">
        <f>'business model (in Real terms)'!AH$60</f>
        <v>47043</v>
      </c>
      <c r="AI182" s="70">
        <f>'business model (in Real terms)'!AI$60</f>
        <v>47074</v>
      </c>
      <c r="AJ182" s="70">
        <f>'business model (in Real terms)'!AJ$60</f>
        <v>47105</v>
      </c>
      <c r="AK182" s="70">
        <f>'business model (in Real terms)'!AK$60</f>
        <v>47136</v>
      </c>
      <c r="AL182" s="70">
        <f>'business model (in Real terms)'!AL$60</f>
        <v>47167</v>
      </c>
      <c r="AM182" s="70">
        <f>'business model (in Real terms)'!AM$60</f>
        <v>47198</v>
      </c>
      <c r="AN182" s="70">
        <f>'business model (in Real terms)'!AN$60</f>
        <v>47229</v>
      </c>
      <c r="AO182" s="70">
        <f>'business model (in Real terms)'!AO$60</f>
        <v>47260</v>
      </c>
      <c r="AP182" s="70">
        <f>'business model (in Real terms)'!AP$60</f>
        <v>47291</v>
      </c>
      <c r="AQ182" s="70">
        <f>'business model (in Real terms)'!AQ$60</f>
        <v>47322</v>
      </c>
      <c r="AR182" s="70">
        <f>'business model (in Real terms)'!AR$60</f>
        <v>47353</v>
      </c>
      <c r="AS182" s="70">
        <f>'business model (in Real terms)'!AS$60</f>
        <v>47384</v>
      </c>
      <c r="AT182" s="70">
        <f>'business model (in Real terms)'!AT$60</f>
        <v>47415</v>
      </c>
      <c r="AU182" s="70">
        <f>'business model (in Real terms)'!AU$60</f>
        <v>47446</v>
      </c>
      <c r="AV182" s="70">
        <f>'business model (in Real terms)'!AV$60</f>
        <v>47477</v>
      </c>
      <c r="AW182" s="70">
        <f>'business model (in Real terms)'!AW$60</f>
        <v>47508</v>
      </c>
      <c r="AX182" s="70">
        <f>'business model (in Real terms)'!AX$60</f>
        <v>47539</v>
      </c>
      <c r="AY182" s="70">
        <f>'business model (in Real terms)'!AY$60</f>
        <v>47570</v>
      </c>
    </row>
    <row r="183" spans="1:51" s="7" customFormat="1" ht="13" x14ac:dyDescent="0.3">
      <c r="A183" s="45" t="str">
        <f>A72</f>
        <v>Cashstream 1: Revenue</v>
      </c>
      <c r="C183" s="9"/>
      <c r="D183" s="160">
        <f>D72</f>
        <v>0</v>
      </c>
      <c r="E183" s="160">
        <f>E72</f>
        <v>0</v>
      </c>
      <c r="F183" s="160">
        <f>F72</f>
        <v>0</v>
      </c>
      <c r="G183" s="160">
        <f>G72</f>
        <v>0</v>
      </c>
      <c r="H183" s="160">
        <f>H72</f>
        <v>0</v>
      </c>
      <c r="I183" s="160">
        <f>I72</f>
        <v>0</v>
      </c>
      <c r="J183" s="160">
        <f>J72</f>
        <v>13500</v>
      </c>
      <c r="K183" s="160">
        <f>K72</f>
        <v>13566.824999999999</v>
      </c>
      <c r="L183" s="160">
        <f>L72</f>
        <v>13633.980783749999</v>
      </c>
      <c r="M183" s="160">
        <f>M72</f>
        <v>13701.468988629562</v>
      </c>
      <c r="N183" s="160">
        <f>N72</f>
        <v>13769.291260123278</v>
      </c>
      <c r="O183" s="160">
        <f>O72</f>
        <v>13837.449251860889</v>
      </c>
      <c r="P183" s="160">
        <f>P72</f>
        <v>13905.944625657601</v>
      </c>
      <c r="Q183" s="160">
        <f>Q72</f>
        <v>13974.779051554606</v>
      </c>
      <c r="R183" s="160">
        <f>R72</f>
        <v>14043.954207859802</v>
      </c>
      <c r="S183" s="160">
        <f>S72</f>
        <v>14113.471781188708</v>
      </c>
      <c r="T183" s="160">
        <f>T72</f>
        <v>14183.33346650559</v>
      </c>
      <c r="U183" s="160">
        <f>U72</f>
        <v>14253.540967164794</v>
      </c>
      <c r="V183" s="160">
        <f>V72</f>
        <v>14324.095994952257</v>
      </c>
      <c r="W183" s="160">
        <f>W72</f>
        <v>14395.000270127272</v>
      </c>
      <c r="X183" s="160">
        <f>X72</f>
        <v>14466.255521464402</v>
      </c>
      <c r="Y183" s="160">
        <f>Y72</f>
        <v>14537.863486295651</v>
      </c>
      <c r="Z183" s="160">
        <f>Z72</f>
        <v>14609.825910552814</v>
      </c>
      <c r="AA183" s="160">
        <f>AA72</f>
        <v>14682.144548810051</v>
      </c>
      <c r="AB183" s="160">
        <f>AB72</f>
        <v>14754.821164326662</v>
      </c>
      <c r="AC183" s="160">
        <f>AC72</f>
        <v>14827.857529090081</v>
      </c>
      <c r="AD183" s="160">
        <f>AD72</f>
        <v>14901.255423859076</v>
      </c>
      <c r="AE183" s="160">
        <f>AE72</f>
        <v>14975.01663820718</v>
      </c>
      <c r="AF183" s="160">
        <f>AF72</f>
        <v>15049.142970566305</v>
      </c>
      <c r="AG183" s="160">
        <f>AG72</f>
        <v>15123.636228270607</v>
      </c>
      <c r="AH183" s="160">
        <f>AH72</f>
        <v>15198.498227600547</v>
      </c>
      <c r="AI183" s="160">
        <f>AI72</f>
        <v>15273.73079382717</v>
      </c>
      <c r="AJ183" s="160">
        <f>AJ72</f>
        <v>15349.335761256614</v>
      </c>
      <c r="AK183" s="160">
        <f>AK72</f>
        <v>15425.314973274835</v>
      </c>
      <c r="AL183" s="160">
        <f>AL72</f>
        <v>15501.670282392544</v>
      </c>
      <c r="AM183" s="160">
        <f>AM72</f>
        <v>15578.403550290386</v>
      </c>
      <c r="AN183" s="160">
        <f>AN72</f>
        <v>15655.516647864322</v>
      </c>
      <c r="AO183" s="160">
        <f>AO72</f>
        <v>15733.011455271255</v>
      </c>
      <c r="AP183" s="160">
        <f>AP72</f>
        <v>15810.889861974847</v>
      </c>
      <c r="AQ183" s="160">
        <f>AQ72</f>
        <v>15889.153766791622</v>
      </c>
      <c r="AR183" s="160">
        <f>AR72</f>
        <v>15967.805077937241</v>
      </c>
      <c r="AS183" s="160">
        <f>AS72</f>
        <v>16046.845713073029</v>
      </c>
      <c r="AT183" s="160">
        <f>AT72</f>
        <v>16126.277599352743</v>
      </c>
      <c r="AU183" s="160">
        <f>AU72</f>
        <v>16206.102673469539</v>
      </c>
      <c r="AV183" s="160">
        <f>AV72</f>
        <v>16286.322881703212</v>
      </c>
      <c r="AW183" s="160">
        <f>AW72</f>
        <v>16286.322881703212</v>
      </c>
      <c r="AX183" s="160">
        <f>AX72</f>
        <v>16286.322881703212</v>
      </c>
      <c r="AY183" s="160">
        <f>AY72</f>
        <v>16286.322881703212</v>
      </c>
    </row>
    <row r="184" spans="1:51" s="7" customFormat="1" ht="13" x14ac:dyDescent="0.3">
      <c r="A184" s="45" t="str">
        <f>A82</f>
        <v>Cashstream 2: Capital Costs</v>
      </c>
      <c r="C184" s="9"/>
      <c r="D184" s="160">
        <f>-D82</f>
        <v>0</v>
      </c>
      <c r="E184" s="160">
        <f>-E82</f>
        <v>-10000</v>
      </c>
      <c r="F184" s="160">
        <f>-F82</f>
        <v>-18000</v>
      </c>
      <c r="G184" s="160">
        <f>-G82</f>
        <v>-26000</v>
      </c>
      <c r="H184" s="160">
        <f>-H82</f>
        <v>-12000</v>
      </c>
      <c r="I184" s="160">
        <f>-I82</f>
        <v>-18000</v>
      </c>
      <c r="J184" s="160">
        <f>-J82</f>
        <v>0</v>
      </c>
      <c r="K184" s="160">
        <f>-K82</f>
        <v>-1000</v>
      </c>
      <c r="L184" s="160">
        <f>-L82</f>
        <v>-1000</v>
      </c>
      <c r="M184" s="160">
        <f>-M82</f>
        <v>-1000</v>
      </c>
      <c r="N184" s="160">
        <f>-N82</f>
        <v>-1000</v>
      </c>
      <c r="O184" s="160">
        <f>-O82</f>
        <v>-1000</v>
      </c>
      <c r="P184" s="160">
        <f>-P82</f>
        <v>-1000</v>
      </c>
      <c r="Q184" s="160">
        <f>-Q82</f>
        <v>-1000</v>
      </c>
      <c r="R184" s="160">
        <f>-R82</f>
        <v>-1000</v>
      </c>
      <c r="S184" s="160">
        <f>-S82</f>
        <v>-1000</v>
      </c>
      <c r="T184" s="160">
        <f>-T82</f>
        <v>-1000</v>
      </c>
      <c r="U184" s="160">
        <f>-U82</f>
        <v>-1000</v>
      </c>
      <c r="V184" s="160">
        <f>-V82</f>
        <v>-1000</v>
      </c>
      <c r="W184" s="160">
        <f>-W82</f>
        <v>-1000</v>
      </c>
      <c r="X184" s="160">
        <f>-X82</f>
        <v>-1000</v>
      </c>
      <c r="Y184" s="160">
        <f>-Y82</f>
        <v>-1000</v>
      </c>
      <c r="Z184" s="160">
        <f>-Z82</f>
        <v>-1000</v>
      </c>
      <c r="AA184" s="160">
        <f>-AA82</f>
        <v>-1000</v>
      </c>
      <c r="AB184" s="160">
        <f>-AB82</f>
        <v>-1000</v>
      </c>
      <c r="AC184" s="160">
        <f>-AC82</f>
        <v>-1000</v>
      </c>
      <c r="AD184" s="160">
        <f>-AD82</f>
        <v>-1000</v>
      </c>
      <c r="AE184" s="160">
        <f>-AE82</f>
        <v>-1000</v>
      </c>
      <c r="AF184" s="160">
        <f>-AF82</f>
        <v>-1000</v>
      </c>
      <c r="AG184" s="160">
        <f>-AG82</f>
        <v>-1000</v>
      </c>
      <c r="AH184" s="160">
        <f>-AH82</f>
        <v>-1000</v>
      </c>
      <c r="AI184" s="160">
        <f>-AI82</f>
        <v>-1000</v>
      </c>
      <c r="AJ184" s="160">
        <f>-AJ82</f>
        <v>-1000</v>
      </c>
      <c r="AK184" s="160">
        <f>-AK82</f>
        <v>-1000</v>
      </c>
      <c r="AL184" s="160">
        <f>-AL82</f>
        <v>-1000</v>
      </c>
      <c r="AM184" s="160">
        <f>-AM82</f>
        <v>-1000</v>
      </c>
      <c r="AN184" s="160">
        <f>-AN82</f>
        <v>-1000</v>
      </c>
      <c r="AO184" s="160">
        <f>-AO82</f>
        <v>-1000</v>
      </c>
      <c r="AP184" s="160">
        <f>-AP82</f>
        <v>-1000</v>
      </c>
      <c r="AQ184" s="160">
        <f>-AQ82</f>
        <v>-1000</v>
      </c>
      <c r="AR184" s="160">
        <f>-AR82</f>
        <v>-1000</v>
      </c>
      <c r="AS184" s="160">
        <f>-AS82</f>
        <v>-1000</v>
      </c>
      <c r="AT184" s="160">
        <f>-AT82</f>
        <v>-1000</v>
      </c>
      <c r="AU184" s="160">
        <f>-AU82</f>
        <v>-1000</v>
      </c>
      <c r="AV184" s="160">
        <f>-AV82</f>
        <v>-1000</v>
      </c>
      <c r="AW184" s="160">
        <f>-AW82</f>
        <v>-1000</v>
      </c>
      <c r="AX184" s="160">
        <f>-AX82</f>
        <v>0</v>
      </c>
      <c r="AY184" s="160">
        <f>-AY82</f>
        <v>0</v>
      </c>
    </row>
    <row r="185" spans="1:51" s="7" customFormat="1" ht="13" x14ac:dyDescent="0.3">
      <c r="A185" s="45" t="str">
        <f>A118</f>
        <v>Cashstream 3: Operating Costs</v>
      </c>
      <c r="C185" s="160">
        <f>SUM(D185:AY185)</f>
        <v>-258764.24697910249</v>
      </c>
      <c r="D185" s="160">
        <f>-D118</f>
        <v>-1210</v>
      </c>
      <c r="E185" s="160">
        <f>-E118</f>
        <v>-1210</v>
      </c>
      <c r="F185" s="160">
        <f>-F118</f>
        <v>-1210</v>
      </c>
      <c r="G185" s="160">
        <f>-G118</f>
        <v>-1210</v>
      </c>
      <c r="H185" s="160">
        <f>-H118</f>
        <v>-1210</v>
      </c>
      <c r="I185" s="160">
        <f>-I118</f>
        <v>-6210</v>
      </c>
      <c r="J185" s="160">
        <f>-J118</f>
        <v>-5123</v>
      </c>
      <c r="K185" s="160">
        <f>-K118</f>
        <v>-5162.13</v>
      </c>
      <c r="L185" s="160">
        <f>-L118</f>
        <v>-5201.6512999999995</v>
      </c>
      <c r="M185" s="160">
        <f>-M118</f>
        <v>-5241.5678130000006</v>
      </c>
      <c r="N185" s="160">
        <f>-N118</f>
        <v>-5281.88349113</v>
      </c>
      <c r="O185" s="160">
        <f>-O118</f>
        <v>-5322.6023260413003</v>
      </c>
      <c r="P185" s="160">
        <f>-P118</f>
        <v>-5363.728349301713</v>
      </c>
      <c r="Q185" s="160">
        <f>-Q118</f>
        <v>-5405.2656327947298</v>
      </c>
      <c r="R185" s="160">
        <f>-R118</f>
        <v>-5447.2182891226776</v>
      </c>
      <c r="S185" s="160">
        <f>-S118</f>
        <v>-5489.5904720139042</v>
      </c>
      <c r="T185" s="160">
        <f>-T118</f>
        <v>-5532.3863767340426</v>
      </c>
      <c r="U185" s="160">
        <f>-U118</f>
        <v>-5575.6102405013835</v>
      </c>
      <c r="V185" s="160">
        <f>-V118</f>
        <v>-5619.2663429063969</v>
      </c>
      <c r="W185" s="160">
        <f>-W118</f>
        <v>-5663.3590063354613</v>
      </c>
      <c r="X185" s="160">
        <f>-X118</f>
        <v>-5707.8925963988158</v>
      </c>
      <c r="Y185" s="160">
        <f>-Y118</f>
        <v>-5752.8715223628051</v>
      </c>
      <c r="Z185" s="160">
        <f>-Z118</f>
        <v>-5798.3002375864326</v>
      </c>
      <c r="AA185" s="160">
        <f>-AA118</f>
        <v>-5844.1832399622972</v>
      </c>
      <c r="AB185" s="160">
        <f>-AB118</f>
        <v>-5890.5250723619201</v>
      </c>
      <c r="AC185" s="160">
        <f>-AC118</f>
        <v>-5937.3303230855399</v>
      </c>
      <c r="AD185" s="160">
        <f>-AD118</f>
        <v>-5984.6036263163951</v>
      </c>
      <c r="AE185" s="160">
        <f>-AE118</f>
        <v>-6032.3496625795597</v>
      </c>
      <c r="AF185" s="160">
        <f>-AF118</f>
        <v>-6080.5731592053544</v>
      </c>
      <c r="AG185" s="160">
        <f>-AG118</f>
        <v>-6129.2788907974082</v>
      </c>
      <c r="AH185" s="160">
        <f>-AH118</f>
        <v>-6178.4716797053825</v>
      </c>
      <c r="AI185" s="160">
        <f>-AI118</f>
        <v>-6228.1563965024361</v>
      </c>
      <c r="AJ185" s="160">
        <f>-AJ118</f>
        <v>-6278.3379604674601</v>
      </c>
      <c r="AK185" s="160">
        <f>-AK118</f>
        <v>-6329.021340072135</v>
      </c>
      <c r="AL185" s="160">
        <f>-AL118</f>
        <v>-6380.2115534728555</v>
      </c>
      <c r="AM185" s="160">
        <f>-AM118</f>
        <v>-6431.9136690075848</v>
      </c>
      <c r="AN185" s="160">
        <f>-AN118</f>
        <v>-6484.1328056976608</v>
      </c>
      <c r="AO185" s="160">
        <f>-AO118</f>
        <v>-6536.874133754638</v>
      </c>
      <c r="AP185" s="160">
        <f>-AP118</f>
        <v>-6590.142875092185</v>
      </c>
      <c r="AQ185" s="160">
        <f>-AQ118</f>
        <v>-6643.9443038431064</v>
      </c>
      <c r="AR185" s="160">
        <f>-AR118</f>
        <v>-6698.2837468815378</v>
      </c>
      <c r="AS185" s="160">
        <f>-AS118</f>
        <v>-6753.1665843503524</v>
      </c>
      <c r="AT185" s="160">
        <f>-AT118</f>
        <v>-6808.5982501938561</v>
      </c>
      <c r="AU185" s="160">
        <f>-AU118</f>
        <v>-6864.5842326957954</v>
      </c>
      <c r="AV185" s="160">
        <f>-AV118</f>
        <v>-6902.1562209529102</v>
      </c>
      <c r="AW185" s="160">
        <f>-AW118</f>
        <v>-6902.1562209529102</v>
      </c>
      <c r="AX185" s="160">
        <f>-AX118</f>
        <v>-6902.1562209529102</v>
      </c>
      <c r="AY185" s="160">
        <f>-AY118</f>
        <v>-4.7708139686073991</v>
      </c>
    </row>
    <row r="186" spans="1:51" s="7" customFormat="1" ht="13" x14ac:dyDescent="0.3">
      <c r="A186" s="45" t="str">
        <f>A159</f>
        <v>Cashstream 4: Taxes</v>
      </c>
      <c r="C186" s="9"/>
      <c r="D186" s="160">
        <f>-D159</f>
        <v>110.00000000000004</v>
      </c>
      <c r="E186" s="160">
        <f>-E159</f>
        <v>1019.0909090909095</v>
      </c>
      <c r="F186" s="160">
        <f>-F159</f>
        <v>1746.3636363636369</v>
      </c>
      <c r="G186" s="160">
        <f>-G159</f>
        <v>2473.6363636363644</v>
      </c>
      <c r="H186" s="160">
        <f>-H159</f>
        <v>1200.9090909090912</v>
      </c>
      <c r="I186" s="160">
        <f>-I159</f>
        <v>1746.3636363636369</v>
      </c>
      <c r="J186" s="160">
        <f>-J159</f>
        <v>-1284.0682958598336</v>
      </c>
      <c r="K186" s="160">
        <f>-K159</f>
        <v>-2197.5066453514046</v>
      </c>
      <c r="L186" s="160">
        <f>-L159</f>
        <v>-2209.6021996527961</v>
      </c>
      <c r="M186" s="160">
        <f>-M159</f>
        <v>-2221.6089671389905</v>
      </c>
      <c r="N186" s="160">
        <f>-N159</f>
        <v>-2233.5276473686858</v>
      </c>
      <c r="O186" s="160">
        <f>-O159</f>
        <v>-2245.3589000528546</v>
      </c>
      <c r="P186" s="160">
        <f>-P159</f>
        <v>-2257.1033455640013</v>
      </c>
      <c r="Q186" s="160">
        <f>-Q159</f>
        <v>-2268.7615654312581</v>
      </c>
      <c r="R186" s="160">
        <f>-R159</f>
        <v>-2280.3341028215864</v>
      </c>
      <c r="S186" s="160">
        <f>-S159</f>
        <v>-2291.8214630073298</v>
      </c>
      <c r="T186" s="160">
        <f>-T159</f>
        <v>-2303.2241138203681</v>
      </c>
      <c r="U186" s="160">
        <f>-U159</f>
        <v>-2314.542486093113</v>
      </c>
      <c r="V186" s="160">
        <f>-V159</f>
        <v>-2325.7769740865774</v>
      </c>
      <c r="W186" s="160">
        <f>-W159</f>
        <v>-2336.9279359057587</v>
      </c>
      <c r="X186" s="160">
        <f>-X159</f>
        <v>-2347.9956939025433</v>
      </c>
      <c r="Y186" s="160">
        <f>-Y159</f>
        <v>-2358.9805350663719</v>
      </c>
      <c r="Z186" s="160">
        <f>-Z159</f>
        <v>-2369.8827114028659</v>
      </c>
      <c r="AA186" s="160">
        <f>-AA159</f>
        <v>-2380.7024403006335</v>
      </c>
      <c r="AB186" s="160">
        <f>-AB159</f>
        <v>-2391.4399048864561</v>
      </c>
      <c r="AC186" s="160">
        <f>-AC159</f>
        <v>-2402.0952543690537</v>
      </c>
      <c r="AD186" s="160">
        <f>-AD159</f>
        <v>-2412.6686043716372</v>
      </c>
      <c r="AE186" s="160">
        <f>-AE159</f>
        <v>-2423.1600372534194</v>
      </c>
      <c r="AF186" s="160">
        <f>-AF159</f>
        <v>-2433.5696024202916</v>
      </c>
      <c r="AG186" s="160">
        <f>-AG159</f>
        <v>-2443.8973166248325</v>
      </c>
      <c r="AH186" s="160">
        <f>-AH159</f>
        <v>-2454.1431642558432</v>
      </c>
      <c r="AI186" s="160">
        <f>-AI159</f>
        <v>-2464.3070976175595</v>
      </c>
      <c r="AJ186" s="160">
        <f>-AJ159</f>
        <v>-2474.3890371987454</v>
      </c>
      <c r="AK186" s="160">
        <f>-AK159</f>
        <v>-2484.3888719317974</v>
      </c>
      <c r="AL186" s="160">
        <f>-AL159</f>
        <v>-2494.3064594420512</v>
      </c>
      <c r="AM186" s="160">
        <f>-AM159</f>
        <v>-2504.1416262874282</v>
      </c>
      <c r="AN186" s="160">
        <f>-AN159</f>
        <v>-2513.8941681885958</v>
      </c>
      <c r="AO186" s="160">
        <f>-AO159</f>
        <v>-2523.5638502497727</v>
      </c>
      <c r="AP186" s="160">
        <f>-AP159</f>
        <v>-2533.1504071703339</v>
      </c>
      <c r="AQ186" s="160">
        <f>-AQ159</f>
        <v>-2542.6535434473776</v>
      </c>
      <c r="AR186" s="160">
        <f>-AR159</f>
        <v>-2552.0729335693586</v>
      </c>
      <c r="AS186" s="160">
        <f>-AS159</f>
        <v>-2561.4082222009565</v>
      </c>
      <c r="AT186" s="160">
        <f>-AT159</f>
        <v>-2570.6590243592937</v>
      </c>
      <c r="AU186" s="160">
        <f>-AU159</f>
        <v>-2579.8249255816418</v>
      </c>
      <c r="AV186" s="160">
        <f>-AV159</f>
        <v>-2594.9426174706041</v>
      </c>
      <c r="AW186" s="160">
        <f>-AW159</f>
        <v>-2596.4581752744853</v>
      </c>
      <c r="AX186" s="160">
        <f>-AX159</f>
        <v>-2671.3323104726041</v>
      </c>
      <c r="AY186" s="160">
        <f>-AY159</f>
        <v>-3281.5987428036465</v>
      </c>
    </row>
    <row r="187" spans="1:51" s="7" customFormat="1" ht="13" x14ac:dyDescent="0.3">
      <c r="A187" s="7" t="s">
        <v>16</v>
      </c>
      <c r="C187" s="9"/>
      <c r="D187" s="160">
        <f t="shared" ref="D187" si="596">IF(SUM(D183:D186)&gt;0,SUM(D183:D186),0)</f>
        <v>0</v>
      </c>
      <c r="E187" s="160">
        <f t="shared" ref="E187:V187" si="597">IF(SUM(E183:E186)&gt;0,SUM(E183:E186),0)</f>
        <v>0</v>
      </c>
      <c r="F187" s="160">
        <f t="shared" si="597"/>
        <v>0</v>
      </c>
      <c r="G187" s="160">
        <f t="shared" si="597"/>
        <v>0</v>
      </c>
      <c r="H187" s="160">
        <f t="shared" si="597"/>
        <v>0</v>
      </c>
      <c r="I187" s="160">
        <f t="shared" si="597"/>
        <v>0</v>
      </c>
      <c r="J187" s="160">
        <f t="shared" si="597"/>
        <v>7092.9317041401664</v>
      </c>
      <c r="K187" s="160">
        <f t="shared" si="597"/>
        <v>5207.1883546485942</v>
      </c>
      <c r="L187" s="160">
        <f t="shared" si="597"/>
        <v>5222.7272840972037</v>
      </c>
      <c r="M187" s="160">
        <f t="shared" si="597"/>
        <v>5238.2922084905713</v>
      </c>
      <c r="N187" s="160">
        <f t="shared" si="597"/>
        <v>5253.880121624592</v>
      </c>
      <c r="O187" s="160">
        <f t="shared" si="597"/>
        <v>5269.4880257667346</v>
      </c>
      <c r="P187" s="160">
        <f t="shared" si="597"/>
        <v>5285.1129307918873</v>
      </c>
      <c r="Q187" s="160">
        <f t="shared" si="597"/>
        <v>5300.7518533286184</v>
      </c>
      <c r="R187" s="160">
        <f t="shared" si="597"/>
        <v>5316.4018159155385</v>
      </c>
      <c r="S187" s="160">
        <f t="shared" si="597"/>
        <v>5332.0598461674736</v>
      </c>
      <c r="T187" s="160">
        <f t="shared" si="597"/>
        <v>5347.7229759511793</v>
      </c>
      <c r="U187" s="160">
        <f t="shared" si="597"/>
        <v>5363.3882405702971</v>
      </c>
      <c r="V187" s="160">
        <f t="shared" si="597"/>
        <v>5379.0526779592819</v>
      </c>
      <c r="W187" s="160">
        <f t="shared" ref="W187:AJ187" si="598">IF(SUM(W183:W186)&gt;0,SUM(W183:W186),0)</f>
        <v>5394.713327886051</v>
      </c>
      <c r="X187" s="160">
        <f t="shared" si="598"/>
        <v>5410.3672311630426</v>
      </c>
      <c r="Y187" s="160">
        <f t="shared" si="598"/>
        <v>5426.0114288664745</v>
      </c>
      <c r="Z187" s="160">
        <f t="shared" si="598"/>
        <v>5441.6429615635152</v>
      </c>
      <c r="AA187" s="160">
        <f t="shared" si="598"/>
        <v>5457.2588685471201</v>
      </c>
      <c r="AB187" s="160">
        <f t="shared" si="598"/>
        <v>5472.856187078286</v>
      </c>
      <c r="AC187" s="160">
        <f t="shared" si="598"/>
        <v>5488.4319516354872</v>
      </c>
      <c r="AD187" s="160">
        <f t="shared" si="598"/>
        <v>5503.9831931710441</v>
      </c>
      <c r="AE187" s="160">
        <f t="shared" si="598"/>
        <v>5519.5069383742011</v>
      </c>
      <c r="AF187" s="160">
        <f t="shared" si="598"/>
        <v>5535.0002089406589</v>
      </c>
      <c r="AG187" s="160">
        <f t="shared" si="598"/>
        <v>5550.4600208483662</v>
      </c>
      <c r="AH187" s="160">
        <f t="shared" si="598"/>
        <v>5565.8833836393205</v>
      </c>
      <c r="AI187" s="160">
        <f t="shared" si="598"/>
        <v>5581.2672997071741</v>
      </c>
      <c r="AJ187" s="160">
        <f t="shared" si="598"/>
        <v>5596.6087635904087</v>
      </c>
      <c r="AK187" s="160">
        <f t="shared" ref="AK187:AY187" si="599">IF(SUM(AK183:AK186)&gt;0,SUM(AK183:AK186),0)</f>
        <v>5611.9047612709028</v>
      </c>
      <c r="AL187" s="160">
        <f t="shared" si="599"/>
        <v>5627.1522694776377</v>
      </c>
      <c r="AM187" s="160">
        <f t="shared" si="599"/>
        <v>5642.3482549953733</v>
      </c>
      <c r="AN187" s="160">
        <f t="shared" si="599"/>
        <v>5657.4896739780652</v>
      </c>
      <c r="AO187" s="160">
        <f t="shared" si="599"/>
        <v>5672.5734712668436</v>
      </c>
      <c r="AP187" s="160">
        <f t="shared" si="599"/>
        <v>5687.596579712329</v>
      </c>
      <c r="AQ187" s="160">
        <f t="shared" si="599"/>
        <v>5702.5559195011374</v>
      </c>
      <c r="AR187" s="160">
        <f t="shared" si="599"/>
        <v>5717.4483974863442</v>
      </c>
      <c r="AS187" s="160">
        <f t="shared" si="599"/>
        <v>5732.2709065217205</v>
      </c>
      <c r="AT187" s="160">
        <f t="shared" si="599"/>
        <v>5747.0203247995933</v>
      </c>
      <c r="AU187" s="160">
        <f t="shared" si="599"/>
        <v>5761.6935151921016</v>
      </c>
      <c r="AV187" s="160">
        <f t="shared" si="599"/>
        <v>5789.2240432796989</v>
      </c>
      <c r="AW187" s="160">
        <f t="shared" si="599"/>
        <v>5787.7084854758177</v>
      </c>
      <c r="AX187" s="160">
        <f t="shared" si="599"/>
        <v>6712.8343502776988</v>
      </c>
      <c r="AY187" s="160">
        <f t="shared" si="599"/>
        <v>12999.953324930959</v>
      </c>
    </row>
    <row r="188" spans="1:51" s="7" customFormat="1" ht="13" x14ac:dyDescent="0.3">
      <c r="A188" s="7" t="s">
        <v>17</v>
      </c>
      <c r="C188" s="9"/>
      <c r="D188" s="160">
        <f t="shared" ref="D188" si="600">IF(SUM(D183:D186)&lt;0,-SUM(D183:D186),0)</f>
        <v>1100</v>
      </c>
      <c r="E188" s="160">
        <f t="shared" ref="E188:V188" si="601">IF(SUM(E183:E186)&lt;0,-SUM(E183:E186),0)</f>
        <v>10190.90909090909</v>
      </c>
      <c r="F188" s="160">
        <f t="shared" si="601"/>
        <v>17463.636363636364</v>
      </c>
      <c r="G188" s="160">
        <f t="shared" si="601"/>
        <v>24736.363636363636</v>
      </c>
      <c r="H188" s="160">
        <f t="shared" si="601"/>
        <v>12009.090909090908</v>
      </c>
      <c r="I188" s="160">
        <f t="shared" si="601"/>
        <v>22463.636363636364</v>
      </c>
      <c r="J188" s="160">
        <f t="shared" si="601"/>
        <v>0</v>
      </c>
      <c r="K188" s="160">
        <f t="shared" si="601"/>
        <v>0</v>
      </c>
      <c r="L188" s="160">
        <f t="shared" si="601"/>
        <v>0</v>
      </c>
      <c r="M188" s="160">
        <f t="shared" si="601"/>
        <v>0</v>
      </c>
      <c r="N188" s="160">
        <f t="shared" si="601"/>
        <v>0</v>
      </c>
      <c r="O188" s="160">
        <f t="shared" si="601"/>
        <v>0</v>
      </c>
      <c r="P188" s="160">
        <f t="shared" si="601"/>
        <v>0</v>
      </c>
      <c r="Q188" s="160">
        <f t="shared" si="601"/>
        <v>0</v>
      </c>
      <c r="R188" s="160">
        <f t="shared" si="601"/>
        <v>0</v>
      </c>
      <c r="S188" s="160">
        <f t="shared" si="601"/>
        <v>0</v>
      </c>
      <c r="T188" s="160">
        <f t="shared" si="601"/>
        <v>0</v>
      </c>
      <c r="U188" s="160">
        <f t="shared" si="601"/>
        <v>0</v>
      </c>
      <c r="V188" s="160">
        <f t="shared" si="601"/>
        <v>0</v>
      </c>
      <c r="W188" s="160">
        <f t="shared" ref="W188:AJ188" si="602">IF(SUM(W183:W186)&lt;0,-SUM(W183:W186),0)</f>
        <v>0</v>
      </c>
      <c r="X188" s="160">
        <f t="shared" si="602"/>
        <v>0</v>
      </c>
      <c r="Y188" s="160">
        <f t="shared" si="602"/>
        <v>0</v>
      </c>
      <c r="Z188" s="160">
        <f t="shared" si="602"/>
        <v>0</v>
      </c>
      <c r="AA188" s="160">
        <f t="shared" si="602"/>
        <v>0</v>
      </c>
      <c r="AB188" s="160">
        <f t="shared" si="602"/>
        <v>0</v>
      </c>
      <c r="AC188" s="160">
        <f t="shared" si="602"/>
        <v>0</v>
      </c>
      <c r="AD188" s="160">
        <f t="shared" si="602"/>
        <v>0</v>
      </c>
      <c r="AE188" s="160">
        <f t="shared" si="602"/>
        <v>0</v>
      </c>
      <c r="AF188" s="160">
        <f t="shared" si="602"/>
        <v>0</v>
      </c>
      <c r="AG188" s="160">
        <f t="shared" si="602"/>
        <v>0</v>
      </c>
      <c r="AH188" s="160">
        <f t="shared" si="602"/>
        <v>0</v>
      </c>
      <c r="AI188" s="160">
        <f t="shared" si="602"/>
        <v>0</v>
      </c>
      <c r="AJ188" s="160">
        <f t="shared" si="602"/>
        <v>0</v>
      </c>
      <c r="AK188" s="160">
        <f t="shared" ref="AK188:AY188" si="603">IF(SUM(AK183:AK186)&lt;0,-SUM(AK183:AK186),0)</f>
        <v>0</v>
      </c>
      <c r="AL188" s="160">
        <f t="shared" si="603"/>
        <v>0</v>
      </c>
      <c r="AM188" s="160">
        <f t="shared" si="603"/>
        <v>0</v>
      </c>
      <c r="AN188" s="160">
        <f t="shared" si="603"/>
        <v>0</v>
      </c>
      <c r="AO188" s="160">
        <f t="shared" si="603"/>
        <v>0</v>
      </c>
      <c r="AP188" s="160">
        <f t="shared" si="603"/>
        <v>0</v>
      </c>
      <c r="AQ188" s="160">
        <f t="shared" si="603"/>
        <v>0</v>
      </c>
      <c r="AR188" s="160">
        <f t="shared" si="603"/>
        <v>0</v>
      </c>
      <c r="AS188" s="160">
        <f t="shared" si="603"/>
        <v>0</v>
      </c>
      <c r="AT188" s="160">
        <f t="shared" si="603"/>
        <v>0</v>
      </c>
      <c r="AU188" s="160">
        <f t="shared" si="603"/>
        <v>0</v>
      </c>
      <c r="AV188" s="160">
        <f t="shared" si="603"/>
        <v>0</v>
      </c>
      <c r="AW188" s="160">
        <f t="shared" si="603"/>
        <v>0</v>
      </c>
      <c r="AX188" s="160">
        <f t="shared" si="603"/>
        <v>0</v>
      </c>
      <c r="AY188" s="160">
        <f t="shared" si="603"/>
        <v>0</v>
      </c>
    </row>
    <row r="189" spans="1:51" s="7" customFormat="1" ht="13" x14ac:dyDescent="0.3">
      <c r="A189" s="7" t="s">
        <v>18</v>
      </c>
      <c r="C189" s="9"/>
      <c r="D189" s="160">
        <f t="shared" ref="D189" si="604">D187-D188</f>
        <v>-1100</v>
      </c>
      <c r="E189" s="160">
        <f t="shared" ref="E189:V189" si="605">E187-E188</f>
        <v>-10190.90909090909</v>
      </c>
      <c r="F189" s="160">
        <f t="shared" si="605"/>
        <v>-17463.636363636364</v>
      </c>
      <c r="G189" s="160">
        <f t="shared" si="605"/>
        <v>-24736.363636363636</v>
      </c>
      <c r="H189" s="160">
        <f t="shared" si="605"/>
        <v>-12009.090909090908</v>
      </c>
      <c r="I189" s="160">
        <f t="shared" si="605"/>
        <v>-22463.636363636364</v>
      </c>
      <c r="J189" s="160">
        <f t="shared" si="605"/>
        <v>7092.9317041401664</v>
      </c>
      <c r="K189" s="160">
        <f t="shared" si="605"/>
        <v>5207.1883546485942</v>
      </c>
      <c r="L189" s="160">
        <f t="shared" si="605"/>
        <v>5222.7272840972037</v>
      </c>
      <c r="M189" s="160">
        <f t="shared" si="605"/>
        <v>5238.2922084905713</v>
      </c>
      <c r="N189" s="160">
        <f t="shared" si="605"/>
        <v>5253.880121624592</v>
      </c>
      <c r="O189" s="160">
        <f t="shared" si="605"/>
        <v>5269.4880257667346</v>
      </c>
      <c r="P189" s="160">
        <f t="shared" si="605"/>
        <v>5285.1129307918873</v>
      </c>
      <c r="Q189" s="160">
        <f t="shared" si="605"/>
        <v>5300.7518533286184</v>
      </c>
      <c r="R189" s="160">
        <f t="shared" si="605"/>
        <v>5316.4018159155385</v>
      </c>
      <c r="S189" s="160">
        <f t="shared" si="605"/>
        <v>5332.0598461674736</v>
      </c>
      <c r="T189" s="160">
        <f t="shared" si="605"/>
        <v>5347.7229759511793</v>
      </c>
      <c r="U189" s="160">
        <f t="shared" si="605"/>
        <v>5363.3882405702971</v>
      </c>
      <c r="V189" s="160">
        <f t="shared" si="605"/>
        <v>5379.0526779592819</v>
      </c>
      <c r="W189" s="160">
        <f t="shared" ref="W189:AJ189" si="606">W187-W188</f>
        <v>5394.713327886051</v>
      </c>
      <c r="X189" s="160">
        <f t="shared" si="606"/>
        <v>5410.3672311630426</v>
      </c>
      <c r="Y189" s="160">
        <f t="shared" si="606"/>
        <v>5426.0114288664745</v>
      </c>
      <c r="Z189" s="160">
        <f t="shared" si="606"/>
        <v>5441.6429615635152</v>
      </c>
      <c r="AA189" s="160">
        <f t="shared" si="606"/>
        <v>5457.2588685471201</v>
      </c>
      <c r="AB189" s="160">
        <f t="shared" si="606"/>
        <v>5472.856187078286</v>
      </c>
      <c r="AC189" s="160">
        <f t="shared" si="606"/>
        <v>5488.4319516354872</v>
      </c>
      <c r="AD189" s="160">
        <f t="shared" si="606"/>
        <v>5503.9831931710441</v>
      </c>
      <c r="AE189" s="160">
        <f t="shared" si="606"/>
        <v>5519.5069383742011</v>
      </c>
      <c r="AF189" s="160">
        <f t="shared" si="606"/>
        <v>5535.0002089406589</v>
      </c>
      <c r="AG189" s="160">
        <f t="shared" si="606"/>
        <v>5550.4600208483662</v>
      </c>
      <c r="AH189" s="160">
        <f t="shared" si="606"/>
        <v>5565.8833836393205</v>
      </c>
      <c r="AI189" s="160">
        <f t="shared" si="606"/>
        <v>5581.2672997071741</v>
      </c>
      <c r="AJ189" s="160">
        <f t="shared" si="606"/>
        <v>5596.6087635904087</v>
      </c>
      <c r="AK189" s="160">
        <f t="shared" ref="AK189:AY189" si="607">AK187-AK188</f>
        <v>5611.9047612709028</v>
      </c>
      <c r="AL189" s="160">
        <f t="shared" si="607"/>
        <v>5627.1522694776377</v>
      </c>
      <c r="AM189" s="160">
        <f t="shared" si="607"/>
        <v>5642.3482549953733</v>
      </c>
      <c r="AN189" s="160">
        <f t="shared" si="607"/>
        <v>5657.4896739780652</v>
      </c>
      <c r="AO189" s="160">
        <f t="shared" si="607"/>
        <v>5672.5734712668436</v>
      </c>
      <c r="AP189" s="160">
        <f t="shared" si="607"/>
        <v>5687.596579712329</v>
      </c>
      <c r="AQ189" s="160">
        <f t="shared" si="607"/>
        <v>5702.5559195011374</v>
      </c>
      <c r="AR189" s="160">
        <f t="shared" si="607"/>
        <v>5717.4483974863442</v>
      </c>
      <c r="AS189" s="160">
        <f t="shared" si="607"/>
        <v>5732.2709065217205</v>
      </c>
      <c r="AT189" s="160">
        <f t="shared" si="607"/>
        <v>5747.0203247995933</v>
      </c>
      <c r="AU189" s="160">
        <f t="shared" si="607"/>
        <v>5761.6935151921016</v>
      </c>
      <c r="AV189" s="160">
        <f t="shared" si="607"/>
        <v>5789.2240432796989</v>
      </c>
      <c r="AW189" s="160">
        <f t="shared" si="607"/>
        <v>5787.7084854758177</v>
      </c>
      <c r="AX189" s="160">
        <f t="shared" si="607"/>
        <v>6712.8343502776988</v>
      </c>
      <c r="AY189" s="160">
        <f t="shared" si="607"/>
        <v>12999.953324930959</v>
      </c>
    </row>
    <row r="190" spans="1:51" x14ac:dyDescent="0.35">
      <c r="A190" s="26"/>
      <c r="B190" s="26"/>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row>
    <row r="233" spans="1:3" x14ac:dyDescent="0.35">
      <c r="A233" s="23" t="s">
        <v>6</v>
      </c>
    </row>
    <row r="234" spans="1:3" x14ac:dyDescent="0.35">
      <c r="A234" s="5" t="s">
        <v>7</v>
      </c>
    </row>
    <row r="235" spans="1:3" x14ac:dyDescent="0.35">
      <c r="A235" s="28" t="s">
        <v>3</v>
      </c>
      <c r="B235" s="29" t="s">
        <v>19</v>
      </c>
      <c r="C235" s="2">
        <v>0.36</v>
      </c>
    </row>
  </sheetData>
  <pageMargins left="0.70866141732283472" right="0.70866141732283472" top="0.74803149606299213" bottom="0.74803149606299213" header="0.31496062992125984" footer="0.31496062992125984"/>
  <pageSetup paperSize="9" scale="2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447E3-101C-4078-9EA9-157F541937A8}">
  <sheetPr>
    <pageSetUpPr fitToPage="1"/>
  </sheetPr>
  <dimension ref="A1:BD87"/>
  <sheetViews>
    <sheetView zoomScaleNormal="100" workbookViewId="0">
      <pane xSplit="32710" topLeftCell="AW1"/>
      <selection activeCell="B2" sqref="B2"/>
      <selection pane="topRight" activeCell="BA58" sqref="BA58"/>
    </sheetView>
  </sheetViews>
  <sheetFormatPr defaultColWidth="8.81640625" defaultRowHeight="15.5" x14ac:dyDescent="0.35"/>
  <cols>
    <col min="1" max="1" width="57.81640625" style="5" customWidth="1"/>
    <col min="2" max="2" width="21.81640625" style="7" customWidth="1"/>
    <col min="3" max="3" width="19.7265625" style="1" customWidth="1"/>
    <col min="4" max="51" width="13.81640625" style="3" customWidth="1"/>
    <col min="52" max="16384" width="8.81640625" style="5"/>
  </cols>
  <sheetData>
    <row r="1" spans="1:51" s="116" customFormat="1" ht="30.75" customHeight="1" x14ac:dyDescent="0.35">
      <c r="A1" s="115" t="str">
        <f>'Intro &amp; Audits'!A1</f>
        <v>One-page business model and one-page project funding of a small scale organic fertiliser plant (first 48 months)</v>
      </c>
      <c r="B1" s="115"/>
      <c r="C1" s="115"/>
      <c r="D1" s="115"/>
    </row>
    <row r="2" spans="1:51" s="19" customFormat="1" ht="28.5" customHeight="1" x14ac:dyDescent="0.35">
      <c r="A2" s="117" t="s">
        <v>20</v>
      </c>
    </row>
    <row r="3" spans="1:51" s="19" customFormat="1" ht="57" customHeight="1" x14ac:dyDescent="0.35">
      <c r="A3" s="73" t="s">
        <v>114</v>
      </c>
      <c r="B3" s="17"/>
      <c r="C3" s="4"/>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row>
    <row r="17" spans="1:56" s="19" customFormat="1" ht="34.4" customHeight="1" x14ac:dyDescent="0.35">
      <c r="A17" s="77" t="s">
        <v>197</v>
      </c>
      <c r="B17" s="17"/>
      <c r="C17" s="4"/>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row>
    <row r="18" spans="1:56" s="205" customFormat="1" ht="31.5" customHeight="1" x14ac:dyDescent="0.35">
      <c r="A18" s="203" t="str">
        <f>'business model (in Real terms)'!A60</f>
        <v>Months --&gt;</v>
      </c>
      <c r="B18" s="203" t="str">
        <f>'business model (in Real terms)'!B60</f>
        <v>units</v>
      </c>
      <c r="C18" s="203" t="str">
        <f>'business model (in Real terms)'!C60</f>
        <v>Total</v>
      </c>
      <c r="D18" s="204">
        <f>'business model (in Real terms)'!D60</f>
        <v>46113</v>
      </c>
      <c r="E18" s="204">
        <f>'business model (in Real terms)'!E60</f>
        <v>46144</v>
      </c>
      <c r="F18" s="204">
        <f>'business model (in Real terms)'!F60</f>
        <v>46175</v>
      </c>
      <c r="G18" s="204">
        <f>'business model (in Real terms)'!G60</f>
        <v>46206</v>
      </c>
      <c r="H18" s="204">
        <f>'business model (in Real terms)'!H60</f>
        <v>46237</v>
      </c>
      <c r="I18" s="204">
        <f>'business model (in Real terms)'!I60</f>
        <v>46268</v>
      </c>
      <c r="J18" s="204">
        <f>'business model (in Real terms)'!J60</f>
        <v>46299</v>
      </c>
      <c r="K18" s="204">
        <f>'business model (in Real terms)'!K60</f>
        <v>46330</v>
      </c>
      <c r="L18" s="204">
        <f>'business model (in Real terms)'!L60</f>
        <v>46361</v>
      </c>
      <c r="M18" s="204">
        <f>'business model (in Real terms)'!M60</f>
        <v>46392</v>
      </c>
      <c r="N18" s="204">
        <f>'business model (in Real terms)'!N60</f>
        <v>46423</v>
      </c>
      <c r="O18" s="204">
        <f>'business model (in Real terms)'!O60</f>
        <v>46454</v>
      </c>
      <c r="P18" s="204">
        <f>'business model (in Real terms)'!P60</f>
        <v>46485</v>
      </c>
      <c r="Q18" s="204">
        <f>'business model (in Real terms)'!Q60</f>
        <v>46516</v>
      </c>
      <c r="R18" s="204">
        <f>'business model (in Real terms)'!R60</f>
        <v>46547</v>
      </c>
      <c r="S18" s="204">
        <f>'business model (in Real terms)'!S60</f>
        <v>46578</v>
      </c>
      <c r="T18" s="204">
        <f>'business model (in Real terms)'!T60</f>
        <v>46609</v>
      </c>
      <c r="U18" s="204">
        <f>'business model (in Real terms)'!U60</f>
        <v>46640</v>
      </c>
      <c r="V18" s="204">
        <f>'business model (in Real terms)'!V60</f>
        <v>46671</v>
      </c>
      <c r="W18" s="204">
        <f>'business model (in Real terms)'!W60</f>
        <v>46702</v>
      </c>
      <c r="X18" s="204">
        <f>'business model (in Real terms)'!X60</f>
        <v>46733</v>
      </c>
      <c r="Y18" s="204">
        <f>'business model (in Real terms)'!Y60</f>
        <v>46764</v>
      </c>
      <c r="Z18" s="204">
        <f>'business model (in Real terms)'!Z60</f>
        <v>46795</v>
      </c>
      <c r="AA18" s="204">
        <f>'business model (in Real terms)'!AA60</f>
        <v>46826</v>
      </c>
      <c r="AB18" s="204">
        <f>'business model (in Real terms)'!AB60</f>
        <v>46857</v>
      </c>
      <c r="AC18" s="204">
        <f>'business model (in Real terms)'!AC60</f>
        <v>46888</v>
      </c>
      <c r="AD18" s="204">
        <f>'business model (in Real terms)'!AD60</f>
        <v>46919</v>
      </c>
      <c r="AE18" s="204">
        <f>'business model (in Real terms)'!AE60</f>
        <v>46950</v>
      </c>
      <c r="AF18" s="204">
        <f>'business model (in Real terms)'!AF60</f>
        <v>46981</v>
      </c>
      <c r="AG18" s="204">
        <f>'business model (in Real terms)'!AG60</f>
        <v>47012</v>
      </c>
      <c r="AH18" s="204">
        <f>'business model (in Real terms)'!AH60</f>
        <v>47043</v>
      </c>
      <c r="AI18" s="204">
        <f>'business model (in Real terms)'!AI60</f>
        <v>47074</v>
      </c>
      <c r="AJ18" s="204">
        <f>'business model (in Real terms)'!AJ60</f>
        <v>47105</v>
      </c>
      <c r="AK18" s="204">
        <f>'business model (in Real terms)'!AK60</f>
        <v>47136</v>
      </c>
      <c r="AL18" s="204">
        <f>'business model (in Real terms)'!AL60</f>
        <v>47167</v>
      </c>
      <c r="AM18" s="204">
        <f>'business model (in Real terms)'!AM60</f>
        <v>47198</v>
      </c>
      <c r="AN18" s="204">
        <f>'business model (in Real terms)'!AN60</f>
        <v>47229</v>
      </c>
      <c r="AO18" s="204">
        <f>'business model (in Real terms)'!AO60</f>
        <v>47260</v>
      </c>
      <c r="AP18" s="204">
        <f>'business model (in Real terms)'!AP60</f>
        <v>47291</v>
      </c>
      <c r="AQ18" s="204">
        <f>'business model (in Real terms)'!AQ60</f>
        <v>47322</v>
      </c>
      <c r="AR18" s="204">
        <f>'business model (in Real terms)'!AR60</f>
        <v>47353</v>
      </c>
      <c r="AS18" s="204">
        <f>'business model (in Real terms)'!AS60</f>
        <v>47384</v>
      </c>
      <c r="AT18" s="204">
        <f>'business model (in Real terms)'!AT60</f>
        <v>47415</v>
      </c>
      <c r="AU18" s="204">
        <f>'business model (in Real terms)'!AU60</f>
        <v>47446</v>
      </c>
      <c r="AV18" s="204">
        <f>'business model (in Real terms)'!AV60</f>
        <v>47477</v>
      </c>
      <c r="AW18" s="204">
        <f>'business model (in Real terms)'!AW60</f>
        <v>47508</v>
      </c>
      <c r="AX18" s="204">
        <f>'business model (in Real terms)'!AX60</f>
        <v>47539</v>
      </c>
      <c r="AY18" s="204">
        <f>'business model (in Real terms)'!AY60</f>
        <v>47570</v>
      </c>
      <c r="AZ18" s="144"/>
      <c r="BA18" s="144"/>
      <c r="BB18" s="144"/>
      <c r="BC18" s="144"/>
      <c r="BD18" s="144"/>
    </row>
    <row r="19" spans="1:56" s="234" customFormat="1" ht="50.5" customHeight="1" x14ac:dyDescent="0.35">
      <c r="A19" s="244" t="s">
        <v>217</v>
      </c>
      <c r="B19" s="231"/>
      <c r="C19" s="232"/>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row>
    <row r="20" spans="1:56" s="166" customFormat="1" ht="29" customHeight="1" x14ac:dyDescent="0.35">
      <c r="A20" s="217" t="s">
        <v>202</v>
      </c>
      <c r="B20" s="206"/>
      <c r="C20" s="164"/>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row>
    <row r="21" spans="1:56" s="139" customFormat="1" ht="13" x14ac:dyDescent="0.3">
      <c r="A21" s="169" t="str">
        <f>'business model (in Real terms)'!A67</f>
        <v>sales of organic fertiliser</v>
      </c>
      <c r="B21" s="169" t="str">
        <f>'business model (in Real terms)'!B67</f>
        <v>kilograms</v>
      </c>
      <c r="C21" s="210">
        <f>'business model (in Real terms)'!C67</f>
        <v>1553724.976762326</v>
      </c>
      <c r="D21" s="210">
        <f>'business model (in Real terms)'!D67</f>
        <v>0</v>
      </c>
      <c r="E21" s="210">
        <f>'business model (in Real terms)'!E67</f>
        <v>0</v>
      </c>
      <c r="F21" s="210">
        <f>'business model (in Real terms)'!F67</f>
        <v>0</v>
      </c>
      <c r="G21" s="210">
        <f>'business model (in Real terms)'!G67</f>
        <v>0</v>
      </c>
      <c r="H21" s="210">
        <f>'business model (in Real terms)'!H67</f>
        <v>0</v>
      </c>
      <c r="I21" s="210">
        <f>'business model (in Real terms)'!I67</f>
        <v>0</v>
      </c>
      <c r="J21" s="210">
        <f>'business model (in Real terms)'!J67</f>
        <v>30000</v>
      </c>
      <c r="K21" s="210">
        <f>'business model (in Real terms)'!K67</f>
        <v>30300</v>
      </c>
      <c r="L21" s="210">
        <f>'business model (in Real terms)'!L67</f>
        <v>30603</v>
      </c>
      <c r="M21" s="210">
        <f>'business model (in Real terms)'!M67</f>
        <v>30909.03</v>
      </c>
      <c r="N21" s="210">
        <f>'business model (in Real terms)'!N67</f>
        <v>31218.120299999999</v>
      </c>
      <c r="O21" s="210">
        <f>'business model (in Real terms)'!O67</f>
        <v>31530.301502999999</v>
      </c>
      <c r="P21" s="210">
        <f>'business model (in Real terms)'!P67</f>
        <v>31845.604518029999</v>
      </c>
      <c r="Q21" s="210">
        <f>'business model (in Real terms)'!Q67</f>
        <v>32164.0605632103</v>
      </c>
      <c r="R21" s="210">
        <f>'business model (in Real terms)'!R67</f>
        <v>32485.701168842403</v>
      </c>
      <c r="S21" s="210">
        <f>'business model (in Real terms)'!S67</f>
        <v>32810.558180530825</v>
      </c>
      <c r="T21" s="210">
        <f>'business model (in Real terms)'!T67</f>
        <v>33138.663762336131</v>
      </c>
      <c r="U21" s="210">
        <f>'business model (in Real terms)'!U67</f>
        <v>33470.050399959495</v>
      </c>
      <c r="V21" s="210">
        <f>'business model (in Real terms)'!V67</f>
        <v>33804.750903959088</v>
      </c>
      <c r="W21" s="210">
        <f>'business model (in Real terms)'!W67</f>
        <v>34142.79841299868</v>
      </c>
      <c r="X21" s="210">
        <f>'business model (in Real terms)'!X67</f>
        <v>34484.226397128667</v>
      </c>
      <c r="Y21" s="210">
        <f>'business model (in Real terms)'!Y67</f>
        <v>34829.068661099955</v>
      </c>
      <c r="Z21" s="210">
        <f>'business model (in Real terms)'!Z67</f>
        <v>35177.359347710953</v>
      </c>
      <c r="AA21" s="210">
        <f>'business model (in Real terms)'!AA67</f>
        <v>35529.132941188065</v>
      </c>
      <c r="AB21" s="210">
        <f>'business model (in Real terms)'!AB67</f>
        <v>35884.42427059995</v>
      </c>
      <c r="AC21" s="210">
        <f>'business model (in Real terms)'!AC67</f>
        <v>36243.268513305949</v>
      </c>
      <c r="AD21" s="210">
        <f>'business model (in Real terms)'!AD67</f>
        <v>36605.701198439012</v>
      </c>
      <c r="AE21" s="210">
        <f>'business model (in Real terms)'!AE67</f>
        <v>36971.758210423402</v>
      </c>
      <c r="AF21" s="210">
        <f>'business model (in Real terms)'!AF67</f>
        <v>37341.475792527635</v>
      </c>
      <c r="AG21" s="210">
        <f>'business model (in Real terms)'!AG67</f>
        <v>37714.89055045291</v>
      </c>
      <c r="AH21" s="210">
        <f>'business model (in Real terms)'!AH67</f>
        <v>38092.039455957442</v>
      </c>
      <c r="AI21" s="210">
        <f>'business model (in Real terms)'!AI67</f>
        <v>38472.959850517014</v>
      </c>
      <c r="AJ21" s="210">
        <f>'business model (in Real terms)'!AJ67</f>
        <v>38857.689449022182</v>
      </c>
      <c r="AK21" s="210">
        <f>'business model (in Real terms)'!AK67</f>
        <v>39246.266343512405</v>
      </c>
      <c r="AL21" s="210">
        <f>'business model (in Real terms)'!AL67</f>
        <v>39638.729006947528</v>
      </c>
      <c r="AM21" s="210">
        <f>'business model (in Real terms)'!AM67</f>
        <v>40035.116297017004</v>
      </c>
      <c r="AN21" s="210">
        <f>'business model (in Real terms)'!AN67</f>
        <v>40435.467459987172</v>
      </c>
      <c r="AO21" s="210">
        <f>'business model (in Real terms)'!AO67</f>
        <v>40839.822134587048</v>
      </c>
      <c r="AP21" s="210">
        <f>'business model (in Real terms)'!AP67</f>
        <v>41248.220355932921</v>
      </c>
      <c r="AQ21" s="210">
        <f>'business model (in Real terms)'!AQ67</f>
        <v>41660.702559492252</v>
      </c>
      <c r="AR21" s="210">
        <f>'business model (in Real terms)'!AR67</f>
        <v>42077.309585087176</v>
      </c>
      <c r="AS21" s="210">
        <f>'business model (in Real terms)'!AS67</f>
        <v>42498.082680938045</v>
      </c>
      <c r="AT21" s="210">
        <f>'business model (in Real terms)'!AT67</f>
        <v>42923.063507747429</v>
      </c>
      <c r="AU21" s="210">
        <f>'business model (in Real terms)'!AU67</f>
        <v>43352.294142824903</v>
      </c>
      <c r="AV21" s="210">
        <f>'business model (in Real terms)'!AV67</f>
        <v>43785.817084253154</v>
      </c>
      <c r="AW21" s="210">
        <f>'business model (in Real terms)'!AW67</f>
        <v>43785.817084253154</v>
      </c>
      <c r="AX21" s="210">
        <f>'business model (in Real terms)'!AX67</f>
        <v>43785.817084253154</v>
      </c>
      <c r="AY21" s="210">
        <f>'business model (in Real terms)'!AY67</f>
        <v>43785.817084253154</v>
      </c>
    </row>
    <row r="22" spans="1:56" s="139" customFormat="1" ht="13" x14ac:dyDescent="0.3">
      <c r="A22" s="169" t="str">
        <f>'business model (in Real terms)'!A168</f>
        <v>Cash Generation over 48 months (before funding)</v>
      </c>
      <c r="B22" s="169" t="str">
        <f>'business model (in Real terms)'!B168</f>
        <v>$ Real</v>
      </c>
      <c r="C22" s="210">
        <f>'business model (in Real terms)'!C168</f>
        <v>153439.12771899317</v>
      </c>
      <c r="D22" s="210">
        <f>'business model (in Real terms)'!D168</f>
        <v>-1100</v>
      </c>
      <c r="E22" s="210">
        <f>'business model (in Real terms)'!E168</f>
        <v>-10190.90909090909</v>
      </c>
      <c r="F22" s="210">
        <f>'business model (in Real terms)'!F168</f>
        <v>-17463.636363636364</v>
      </c>
      <c r="G22" s="210">
        <f>'business model (in Real terms)'!G168</f>
        <v>-24736.363636363636</v>
      </c>
      <c r="H22" s="210">
        <f>'business model (in Real terms)'!H168</f>
        <v>-12009.090909090908</v>
      </c>
      <c r="I22" s="210">
        <f>'business model (in Real terms)'!I168</f>
        <v>-22463.636363636364</v>
      </c>
      <c r="J22" s="210">
        <f>'business model (in Real terms)'!J168</f>
        <v>7092.9317041401664</v>
      </c>
      <c r="K22" s="210">
        <f>'business model (in Real terms)'!K168</f>
        <v>5207.1883546485933</v>
      </c>
      <c r="L22" s="210">
        <f>'business model (in Real terms)'!L168</f>
        <v>5222.7272840972037</v>
      </c>
      <c r="M22" s="210">
        <f>'business model (in Real terms)'!M168</f>
        <v>5238.2922084905713</v>
      </c>
      <c r="N22" s="210">
        <f>'business model (in Real terms)'!N168</f>
        <v>5253.880121624592</v>
      </c>
      <c r="O22" s="210">
        <f>'business model (in Real terms)'!O168</f>
        <v>5269.4880257667355</v>
      </c>
      <c r="P22" s="210">
        <f>'business model (in Real terms)'!P168</f>
        <v>5285.1129307918873</v>
      </c>
      <c r="Q22" s="210">
        <f>'business model (in Real terms)'!Q168</f>
        <v>5300.7518533286184</v>
      </c>
      <c r="R22" s="210">
        <f>'business model (in Real terms)'!R168</f>
        <v>5316.4018159155385</v>
      </c>
      <c r="S22" s="210">
        <f>'business model (in Real terms)'!S168</f>
        <v>5332.0598461674726</v>
      </c>
      <c r="T22" s="210">
        <f>'business model (in Real terms)'!T168</f>
        <v>5347.7229759511793</v>
      </c>
      <c r="U22" s="210">
        <f>'business model (in Real terms)'!U168</f>
        <v>5363.3882405702971</v>
      </c>
      <c r="V22" s="210">
        <f>'business model (in Real terms)'!V168</f>
        <v>5379.0526779592819</v>
      </c>
      <c r="W22" s="210">
        <f>'business model (in Real terms)'!W168</f>
        <v>5394.713327886051</v>
      </c>
      <c r="X22" s="210">
        <f>'business model (in Real terms)'!X168</f>
        <v>5410.3672311630435</v>
      </c>
      <c r="Y22" s="210">
        <f>'business model (in Real terms)'!Y168</f>
        <v>5426.0114288664754</v>
      </c>
      <c r="Z22" s="210">
        <f>'business model (in Real terms)'!Z168</f>
        <v>5441.6429615635152</v>
      </c>
      <c r="AA22" s="210">
        <f>'business model (in Real terms)'!AA168</f>
        <v>5457.2588685471201</v>
      </c>
      <c r="AB22" s="210">
        <f>'business model (in Real terms)'!AB168</f>
        <v>5472.8561870782869</v>
      </c>
      <c r="AC22" s="210">
        <f>'business model (in Real terms)'!AC168</f>
        <v>5488.4319516354881</v>
      </c>
      <c r="AD22" s="210">
        <f>'business model (in Real terms)'!AD168</f>
        <v>5503.9831931710451</v>
      </c>
      <c r="AE22" s="210">
        <f>'business model (in Real terms)'!AE168</f>
        <v>5519.5069383742011</v>
      </c>
      <c r="AF22" s="210">
        <f>'business model (in Real terms)'!AF168</f>
        <v>5535.0002089406589</v>
      </c>
      <c r="AG22" s="210">
        <f>'business model (in Real terms)'!AG168</f>
        <v>5550.4600208483662</v>
      </c>
      <c r="AH22" s="210">
        <f>'business model (in Real terms)'!AH168</f>
        <v>5565.8833836393205</v>
      </c>
      <c r="AI22" s="210">
        <f>'business model (in Real terms)'!AI168</f>
        <v>5581.267299707175</v>
      </c>
      <c r="AJ22" s="210">
        <f>'business model (in Real terms)'!AJ168</f>
        <v>5596.6087635904078</v>
      </c>
      <c r="AK22" s="210">
        <f>'business model (in Real terms)'!AK168</f>
        <v>5611.9047612709037</v>
      </c>
      <c r="AL22" s="210">
        <f>'business model (in Real terms)'!AL168</f>
        <v>5627.1522694776377</v>
      </c>
      <c r="AM22" s="210">
        <f>'business model (in Real terms)'!AM168</f>
        <v>5642.3482549953733</v>
      </c>
      <c r="AN22" s="210">
        <f>'business model (in Real terms)'!AN168</f>
        <v>5657.4896739780652</v>
      </c>
      <c r="AO22" s="210">
        <f>'business model (in Real terms)'!AO168</f>
        <v>5672.5734712668436</v>
      </c>
      <c r="AP22" s="210">
        <f>'business model (in Real terms)'!AP168</f>
        <v>5687.5965797123281</v>
      </c>
      <c r="AQ22" s="210">
        <f>'business model (in Real terms)'!AQ168</f>
        <v>5702.5559195011374</v>
      </c>
      <c r="AR22" s="210">
        <f>'business model (in Real terms)'!AR168</f>
        <v>5717.4483974863451</v>
      </c>
      <c r="AS22" s="210">
        <f>'business model (in Real terms)'!AS168</f>
        <v>5732.2709065217205</v>
      </c>
      <c r="AT22" s="210">
        <f>'business model (in Real terms)'!AT168</f>
        <v>5747.0203247995923</v>
      </c>
      <c r="AU22" s="210">
        <f>'business model (in Real terms)'!AU168</f>
        <v>5761.6935151921007</v>
      </c>
      <c r="AV22" s="210">
        <f>'business model (in Real terms)'!AV168</f>
        <v>5789.2240432796989</v>
      </c>
      <c r="AW22" s="210">
        <f>'business model (in Real terms)'!AW168</f>
        <v>5787.7084854758159</v>
      </c>
      <c r="AX22" s="210">
        <f>'business model (in Real terms)'!AX168</f>
        <v>6712.834350277697</v>
      </c>
      <c r="AY22" s="210">
        <f>'business model (in Real terms)'!AY168</f>
        <v>12999.953324930959</v>
      </c>
    </row>
    <row r="23" spans="1:56" s="189" customFormat="1" ht="29" customHeight="1" x14ac:dyDescent="0.35">
      <c r="A23" s="218" t="s">
        <v>203</v>
      </c>
      <c r="B23" s="219"/>
      <c r="C23" s="220"/>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221"/>
      <c r="AR23" s="221"/>
      <c r="AS23" s="221"/>
      <c r="AT23" s="221"/>
      <c r="AU23" s="221"/>
      <c r="AV23" s="221"/>
      <c r="AW23" s="221"/>
      <c r="AX23" s="221"/>
      <c r="AY23" s="221"/>
    </row>
    <row r="24" spans="1:56" s="139" customFormat="1" ht="13" x14ac:dyDescent="0.3">
      <c r="A24" s="211" t="s">
        <v>204</v>
      </c>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c r="AX24" s="212"/>
      <c r="AY24" s="212"/>
    </row>
    <row r="25" spans="1:56" s="225" customFormat="1" ht="13.5" thickBot="1" x14ac:dyDescent="0.35">
      <c r="A25" s="222" t="s">
        <v>109</v>
      </c>
      <c r="B25" s="222"/>
      <c r="C25" s="223"/>
      <c r="D25" s="224">
        <f>2%^1/12</f>
        <v>1.6666666666666668E-3</v>
      </c>
      <c r="E25" s="224">
        <f t="shared" ref="E25:O25" si="0">D25</f>
        <v>1.6666666666666668E-3</v>
      </c>
      <c r="F25" s="224">
        <f t="shared" si="0"/>
        <v>1.6666666666666668E-3</v>
      </c>
      <c r="G25" s="224">
        <f t="shared" si="0"/>
        <v>1.6666666666666668E-3</v>
      </c>
      <c r="H25" s="224">
        <f t="shared" si="0"/>
        <v>1.6666666666666668E-3</v>
      </c>
      <c r="I25" s="224">
        <f t="shared" si="0"/>
        <v>1.6666666666666668E-3</v>
      </c>
      <c r="J25" s="224">
        <f t="shared" si="0"/>
        <v>1.6666666666666668E-3</v>
      </c>
      <c r="K25" s="224">
        <f t="shared" si="0"/>
        <v>1.6666666666666668E-3</v>
      </c>
      <c r="L25" s="224">
        <f t="shared" si="0"/>
        <v>1.6666666666666668E-3</v>
      </c>
      <c r="M25" s="224">
        <f t="shared" si="0"/>
        <v>1.6666666666666668E-3</v>
      </c>
      <c r="N25" s="224">
        <f t="shared" si="0"/>
        <v>1.6666666666666668E-3</v>
      </c>
      <c r="O25" s="224">
        <f t="shared" si="0"/>
        <v>1.6666666666666668E-3</v>
      </c>
      <c r="P25" s="224">
        <f t="shared" ref="P25:AY25" si="1">O25</f>
        <v>1.6666666666666668E-3</v>
      </c>
      <c r="Q25" s="224">
        <f t="shared" si="1"/>
        <v>1.6666666666666668E-3</v>
      </c>
      <c r="R25" s="224">
        <f t="shared" si="1"/>
        <v>1.6666666666666668E-3</v>
      </c>
      <c r="S25" s="224">
        <f t="shared" si="1"/>
        <v>1.6666666666666668E-3</v>
      </c>
      <c r="T25" s="224">
        <f t="shared" si="1"/>
        <v>1.6666666666666668E-3</v>
      </c>
      <c r="U25" s="224">
        <f t="shared" si="1"/>
        <v>1.6666666666666668E-3</v>
      </c>
      <c r="V25" s="224">
        <f t="shared" si="1"/>
        <v>1.6666666666666668E-3</v>
      </c>
      <c r="W25" s="224">
        <f t="shared" si="1"/>
        <v>1.6666666666666668E-3</v>
      </c>
      <c r="X25" s="224">
        <f t="shared" si="1"/>
        <v>1.6666666666666668E-3</v>
      </c>
      <c r="Y25" s="224">
        <f t="shared" si="1"/>
        <v>1.6666666666666668E-3</v>
      </c>
      <c r="Z25" s="224">
        <f t="shared" si="1"/>
        <v>1.6666666666666668E-3</v>
      </c>
      <c r="AA25" s="224">
        <f t="shared" si="1"/>
        <v>1.6666666666666668E-3</v>
      </c>
      <c r="AB25" s="224">
        <f t="shared" si="1"/>
        <v>1.6666666666666668E-3</v>
      </c>
      <c r="AC25" s="224">
        <f t="shared" si="1"/>
        <v>1.6666666666666668E-3</v>
      </c>
      <c r="AD25" s="224">
        <f t="shared" si="1"/>
        <v>1.6666666666666668E-3</v>
      </c>
      <c r="AE25" s="224">
        <f t="shared" si="1"/>
        <v>1.6666666666666668E-3</v>
      </c>
      <c r="AF25" s="224">
        <f t="shared" si="1"/>
        <v>1.6666666666666668E-3</v>
      </c>
      <c r="AG25" s="224">
        <f t="shared" si="1"/>
        <v>1.6666666666666668E-3</v>
      </c>
      <c r="AH25" s="224">
        <f t="shared" si="1"/>
        <v>1.6666666666666668E-3</v>
      </c>
      <c r="AI25" s="224">
        <f t="shared" si="1"/>
        <v>1.6666666666666668E-3</v>
      </c>
      <c r="AJ25" s="224">
        <f t="shared" si="1"/>
        <v>1.6666666666666668E-3</v>
      </c>
      <c r="AK25" s="224">
        <f t="shared" si="1"/>
        <v>1.6666666666666668E-3</v>
      </c>
      <c r="AL25" s="224">
        <f t="shared" si="1"/>
        <v>1.6666666666666668E-3</v>
      </c>
      <c r="AM25" s="224">
        <f t="shared" si="1"/>
        <v>1.6666666666666668E-3</v>
      </c>
      <c r="AN25" s="224">
        <f t="shared" si="1"/>
        <v>1.6666666666666668E-3</v>
      </c>
      <c r="AO25" s="224">
        <f t="shared" si="1"/>
        <v>1.6666666666666668E-3</v>
      </c>
      <c r="AP25" s="224">
        <f t="shared" si="1"/>
        <v>1.6666666666666668E-3</v>
      </c>
      <c r="AQ25" s="224">
        <f t="shared" si="1"/>
        <v>1.6666666666666668E-3</v>
      </c>
      <c r="AR25" s="224">
        <f t="shared" si="1"/>
        <v>1.6666666666666668E-3</v>
      </c>
      <c r="AS25" s="224">
        <f t="shared" si="1"/>
        <v>1.6666666666666668E-3</v>
      </c>
      <c r="AT25" s="224">
        <f t="shared" si="1"/>
        <v>1.6666666666666668E-3</v>
      </c>
      <c r="AU25" s="224">
        <f t="shared" si="1"/>
        <v>1.6666666666666668E-3</v>
      </c>
      <c r="AV25" s="224">
        <f t="shared" si="1"/>
        <v>1.6666666666666668E-3</v>
      </c>
      <c r="AW25" s="224">
        <f t="shared" si="1"/>
        <v>1.6666666666666668E-3</v>
      </c>
      <c r="AX25" s="224">
        <f t="shared" si="1"/>
        <v>1.6666666666666668E-3</v>
      </c>
      <c r="AY25" s="224">
        <f t="shared" si="1"/>
        <v>1.6666666666666668E-3</v>
      </c>
    </row>
    <row r="26" spans="1:56" s="176" customFormat="1" ht="13.5" thickBot="1" x14ac:dyDescent="0.35">
      <c r="A26" s="176" t="s">
        <v>110</v>
      </c>
      <c r="C26" s="214"/>
      <c r="D26" s="215">
        <f>(1+D25)^0.5</f>
        <v>1.0008329864001619</v>
      </c>
      <c r="E26" s="216">
        <f t="shared" ref="E26:O26" si="2">D26*(1+E25)</f>
        <v>1.0025010413774955</v>
      </c>
      <c r="F26" s="216">
        <f t="shared" si="2"/>
        <v>1.004171876446458</v>
      </c>
      <c r="G26" s="216">
        <f t="shared" si="2"/>
        <v>1.0058454962405354</v>
      </c>
      <c r="H26" s="216">
        <f t="shared" si="2"/>
        <v>1.0075219054009363</v>
      </c>
      <c r="I26" s="216">
        <f t="shared" si="2"/>
        <v>1.0092011085766046</v>
      </c>
      <c r="J26" s="216">
        <f t="shared" si="2"/>
        <v>1.0108831104242324</v>
      </c>
      <c r="K26" s="216">
        <f t="shared" si="2"/>
        <v>1.0125679156082728</v>
      </c>
      <c r="L26" s="216">
        <f t="shared" si="2"/>
        <v>1.0142555288009532</v>
      </c>
      <c r="M26" s="216">
        <f t="shared" si="2"/>
        <v>1.0159459546822882</v>
      </c>
      <c r="N26" s="216">
        <f t="shared" si="2"/>
        <v>1.0176391979400921</v>
      </c>
      <c r="O26" s="216">
        <f t="shared" si="2"/>
        <v>1.0193352632699924</v>
      </c>
      <c r="P26" s="216">
        <f t="shared" ref="P26:AY26" si="3">O26*(1+P25)</f>
        <v>1.0210341553754423</v>
      </c>
      <c r="Q26" s="216">
        <f t="shared" si="3"/>
        <v>1.0227358789677348</v>
      </c>
      <c r="R26" s="216">
        <f t="shared" si="3"/>
        <v>1.0244404387660144</v>
      </c>
      <c r="S26" s="216">
        <f t="shared" si="3"/>
        <v>1.0261478394972912</v>
      </c>
      <c r="T26" s="216">
        <f t="shared" si="3"/>
        <v>1.0278580858964534</v>
      </c>
      <c r="U26" s="216">
        <f t="shared" si="3"/>
        <v>1.029571182706281</v>
      </c>
      <c r="V26" s="216">
        <f t="shared" si="3"/>
        <v>1.0312871346774581</v>
      </c>
      <c r="W26" s="216">
        <f t="shared" si="3"/>
        <v>1.0330059465685872</v>
      </c>
      <c r="X26" s="216">
        <f t="shared" si="3"/>
        <v>1.0347276231462017</v>
      </c>
      <c r="Y26" s="216">
        <f t="shared" si="3"/>
        <v>1.0364521691847788</v>
      </c>
      <c r="Z26" s="216">
        <f t="shared" si="3"/>
        <v>1.0381795894667534</v>
      </c>
      <c r="AA26" s="216">
        <f t="shared" si="3"/>
        <v>1.0399098887825313</v>
      </c>
      <c r="AB26" s="216">
        <f t="shared" si="3"/>
        <v>1.0416430719305023</v>
      </c>
      <c r="AC26" s="216">
        <f t="shared" si="3"/>
        <v>1.0433791437170532</v>
      </c>
      <c r="AD26" s="216">
        <f t="shared" si="3"/>
        <v>1.0451181089565817</v>
      </c>
      <c r="AE26" s="216">
        <f t="shared" si="3"/>
        <v>1.0468599724715095</v>
      </c>
      <c r="AF26" s="216">
        <f t="shared" si="3"/>
        <v>1.0486047390922955</v>
      </c>
      <c r="AG26" s="216">
        <f t="shared" si="3"/>
        <v>1.0503524136574494</v>
      </c>
      <c r="AH26" s="216">
        <f t="shared" si="3"/>
        <v>1.052103001013545</v>
      </c>
      <c r="AI26" s="216">
        <f t="shared" si="3"/>
        <v>1.0538565060152343</v>
      </c>
      <c r="AJ26" s="216">
        <f t="shared" si="3"/>
        <v>1.0556129335252598</v>
      </c>
      <c r="AK26" s="216">
        <f t="shared" si="3"/>
        <v>1.0573722884144685</v>
      </c>
      <c r="AL26" s="216">
        <f t="shared" si="3"/>
        <v>1.059134575561826</v>
      </c>
      <c r="AM26" s="216">
        <f t="shared" si="3"/>
        <v>1.0608997998544292</v>
      </c>
      <c r="AN26" s="216">
        <f t="shared" si="3"/>
        <v>1.06266796618752</v>
      </c>
      <c r="AO26" s="216">
        <f t="shared" si="3"/>
        <v>1.0644390794644993</v>
      </c>
      <c r="AP26" s="216">
        <f t="shared" si="3"/>
        <v>1.0662131445969403</v>
      </c>
      <c r="AQ26" s="216">
        <f t="shared" si="3"/>
        <v>1.0679901665046019</v>
      </c>
      <c r="AR26" s="216">
        <f t="shared" si="3"/>
        <v>1.0697701501154429</v>
      </c>
      <c r="AS26" s="216">
        <f t="shared" si="3"/>
        <v>1.0715531003656353</v>
      </c>
      <c r="AT26" s="216">
        <f t="shared" si="3"/>
        <v>1.073339022199578</v>
      </c>
      <c r="AU26" s="216">
        <f t="shared" si="3"/>
        <v>1.0751279205699107</v>
      </c>
      <c r="AV26" s="216">
        <f t="shared" si="3"/>
        <v>1.0769198004375273</v>
      </c>
      <c r="AW26" s="216">
        <f t="shared" si="3"/>
        <v>1.0787146667715899</v>
      </c>
      <c r="AX26" s="216">
        <f t="shared" si="3"/>
        <v>1.0805125245495426</v>
      </c>
      <c r="AY26" s="216">
        <f t="shared" si="3"/>
        <v>1.0823133787571253</v>
      </c>
    </row>
    <row r="27" spans="1:56" s="181" customFormat="1" ht="24.5" customHeight="1" thickBot="1" x14ac:dyDescent="0.4">
      <c r="A27" s="177" t="s">
        <v>100</v>
      </c>
      <c r="B27" s="178" t="s">
        <v>107</v>
      </c>
      <c r="C27" s="188">
        <f>SUM(D27:AY27)</f>
        <v>164440.51104118413</v>
      </c>
      <c r="D27" s="179">
        <f t="shared" ref="D27:O27" si="4">D22*D26</f>
        <v>-1100.9162850401781</v>
      </c>
      <c r="E27" s="180">
        <f t="shared" si="4"/>
        <v>-10216.396976219748</v>
      </c>
      <c r="F27" s="180">
        <f t="shared" si="4"/>
        <v>-17536.492496851326</v>
      </c>
      <c r="G27" s="180">
        <f t="shared" si="4"/>
        <v>-24880.959957004517</v>
      </c>
      <c r="H27" s="180">
        <f t="shared" si="4"/>
        <v>-12099.422154860335</v>
      </c>
      <c r="I27" s="180">
        <f t="shared" si="4"/>
        <v>-22670.326720843546</v>
      </c>
      <c r="J27" s="180">
        <f t="shared" si="4"/>
        <v>7170.1248631078624</v>
      </c>
      <c r="K27" s="180">
        <f t="shared" si="4"/>
        <v>5272.6318584461978</v>
      </c>
      <c r="L27" s="180">
        <f t="shared" si="4"/>
        <v>5297.1800233151753</v>
      </c>
      <c r="M27" s="180">
        <f t="shared" si="4"/>
        <v>5321.8217786597452</v>
      </c>
      <c r="N27" s="180">
        <f t="shared" si="4"/>
        <v>5346.5543530434434</v>
      </c>
      <c r="O27" s="180">
        <f t="shared" si="4"/>
        <v>5371.3749640430078</v>
      </c>
      <c r="P27" s="180">
        <f t="shared" ref="P27:AY27" si="5">P22*P26</f>
        <v>5396.2808173549229</v>
      </c>
      <c r="Q27" s="180">
        <f t="shared" si="5"/>
        <v>5421.2691059038934</v>
      </c>
      <c r="R27" s="180">
        <f t="shared" si="5"/>
        <v>5446.3370089529499</v>
      </c>
      <c r="S27" s="180">
        <f t="shared" si="5"/>
        <v>5471.4816912150109</v>
      </c>
      <c r="T27" s="180">
        <f t="shared" si="5"/>
        <v>5496.7003019656649</v>
      </c>
      <c r="U27" s="180">
        <f t="shared" si="5"/>
        <v>5521.9899741569207</v>
      </c>
      <c r="V27" s="180">
        <f t="shared" si="5"/>
        <v>5547.3478235317361</v>
      </c>
      <c r="W27" s="180">
        <f t="shared" si="5"/>
        <v>5572.7709477391036</v>
      </c>
      <c r="X27" s="180">
        <f t="shared" si="5"/>
        <v>5598.2564254494328</v>
      </c>
      <c r="Y27" s="180">
        <f t="shared" si="5"/>
        <v>5623.8013154700593</v>
      </c>
      <c r="Z27" s="180">
        <f t="shared" si="5"/>
        <v>5649.4026558606583</v>
      </c>
      <c r="AA27" s="180">
        <f t="shared" si="5"/>
        <v>5675.0574630483179</v>
      </c>
      <c r="AB27" s="180">
        <f t="shared" si="5"/>
        <v>5700.7627309420823</v>
      </c>
      <c r="AC27" s="180">
        <f t="shared" si="5"/>
        <v>5726.5154300467511</v>
      </c>
      <c r="AD27" s="180">
        <f t="shared" si="5"/>
        <v>5752.3125065757313</v>
      </c>
      <c r="AE27" s="180">
        <f t="shared" si="5"/>
        <v>5778.1508815627221</v>
      </c>
      <c r="AF27" s="180">
        <f t="shared" si="5"/>
        <v>5804.0274499720208</v>
      </c>
      <c r="AG27" s="180">
        <f t="shared" si="5"/>
        <v>5829.9390798072582</v>
      </c>
      <c r="AH27" s="180">
        <f t="shared" si="5"/>
        <v>5855.8826112183533</v>
      </c>
      <c r="AI27" s="180">
        <f t="shared" si="5"/>
        <v>5881.8548556064852</v>
      </c>
      <c r="AJ27" s="180">
        <f t="shared" si="5"/>
        <v>5907.8525947268472</v>
      </c>
      <c r="AK27" s="180">
        <f t="shared" si="5"/>
        <v>5933.8725797890675</v>
      </c>
      <c r="AL27" s="180">
        <f t="shared" si="5"/>
        <v>5959.911530554964</v>
      </c>
      <c r="AM27" s="180">
        <f t="shared" si="5"/>
        <v>5985.9661344335791</v>
      </c>
      <c r="AN27" s="180">
        <f t="shared" si="5"/>
        <v>6012.0330455731664</v>
      </c>
      <c r="AO27" s="180">
        <f t="shared" si="5"/>
        <v>6038.1088839500189</v>
      </c>
      <c r="AP27" s="180">
        <f t="shared" si="5"/>
        <v>6064.190234453883</v>
      </c>
      <c r="AQ27" s="180">
        <f t="shared" si="5"/>
        <v>6090.2736459698226</v>
      </c>
      <c r="AR27" s="180">
        <f t="shared" si="5"/>
        <v>6116.3556304562653</v>
      </c>
      <c r="AS27" s="180">
        <f t="shared" si="5"/>
        <v>6142.4326620190805</v>
      </c>
      <c r="AT27" s="180">
        <f t="shared" si="5"/>
        <v>6168.5011759814952</v>
      </c>
      <c r="AU27" s="180">
        <f t="shared" si="5"/>
        <v>6194.5575679496224</v>
      </c>
      <c r="AV27" s="180">
        <f t="shared" si="5"/>
        <v>6234.5300013769083</v>
      </c>
      <c r="AW27" s="180">
        <f t="shared" si="5"/>
        <v>6243.2860302811478</v>
      </c>
      <c r="AX27" s="180">
        <f t="shared" si="5"/>
        <v>7253.3015907014433</v>
      </c>
      <c r="AY27" s="180">
        <f t="shared" si="5"/>
        <v>14070.023406790951</v>
      </c>
    </row>
    <row r="28" spans="1:56" s="189" customFormat="1" ht="29" customHeight="1" x14ac:dyDescent="0.35">
      <c r="A28" s="218" t="s">
        <v>205</v>
      </c>
      <c r="B28" s="219"/>
      <c r="C28" s="220"/>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row>
    <row r="29" spans="1:56" s="190" customFormat="1" x14ac:dyDescent="0.35">
      <c r="A29" s="198" t="s">
        <v>99</v>
      </c>
      <c r="B29" s="181" t="s">
        <v>107</v>
      </c>
      <c r="C29" s="188">
        <f>SUM(D29:AY29)</f>
        <v>-88504.514590819643</v>
      </c>
      <c r="D29" s="182">
        <f t="shared" ref="D29:O29" si="6">IF(D27&lt;0,D27,0)</f>
        <v>-1100.9162850401781</v>
      </c>
      <c r="E29" s="182">
        <f t="shared" si="6"/>
        <v>-10216.396976219748</v>
      </c>
      <c r="F29" s="182">
        <f t="shared" si="6"/>
        <v>-17536.492496851326</v>
      </c>
      <c r="G29" s="182">
        <f t="shared" si="6"/>
        <v>-24880.959957004517</v>
      </c>
      <c r="H29" s="182">
        <f t="shared" si="6"/>
        <v>-12099.422154860335</v>
      </c>
      <c r="I29" s="182">
        <f t="shared" si="6"/>
        <v>-22670.326720843546</v>
      </c>
      <c r="J29" s="182">
        <f t="shared" si="6"/>
        <v>0</v>
      </c>
      <c r="K29" s="182">
        <f t="shared" si="6"/>
        <v>0</v>
      </c>
      <c r="L29" s="182">
        <f t="shared" si="6"/>
        <v>0</v>
      </c>
      <c r="M29" s="182">
        <f t="shared" si="6"/>
        <v>0</v>
      </c>
      <c r="N29" s="182">
        <f t="shared" si="6"/>
        <v>0</v>
      </c>
      <c r="O29" s="182">
        <f t="shared" si="6"/>
        <v>0</v>
      </c>
      <c r="P29" s="182">
        <f t="shared" ref="P29:AY29" si="7">IF(P27&lt;0,P27,0)</f>
        <v>0</v>
      </c>
      <c r="Q29" s="182">
        <f t="shared" si="7"/>
        <v>0</v>
      </c>
      <c r="R29" s="182">
        <f t="shared" si="7"/>
        <v>0</v>
      </c>
      <c r="S29" s="182">
        <f t="shared" si="7"/>
        <v>0</v>
      </c>
      <c r="T29" s="182">
        <f t="shared" si="7"/>
        <v>0</v>
      </c>
      <c r="U29" s="182">
        <f t="shared" si="7"/>
        <v>0</v>
      </c>
      <c r="V29" s="182">
        <f t="shared" si="7"/>
        <v>0</v>
      </c>
      <c r="W29" s="182">
        <f t="shared" si="7"/>
        <v>0</v>
      </c>
      <c r="X29" s="182">
        <f t="shared" si="7"/>
        <v>0</v>
      </c>
      <c r="Y29" s="182">
        <f t="shared" si="7"/>
        <v>0</v>
      </c>
      <c r="Z29" s="182">
        <f t="shared" si="7"/>
        <v>0</v>
      </c>
      <c r="AA29" s="182">
        <f t="shared" si="7"/>
        <v>0</v>
      </c>
      <c r="AB29" s="182">
        <f t="shared" si="7"/>
        <v>0</v>
      </c>
      <c r="AC29" s="182">
        <f t="shared" si="7"/>
        <v>0</v>
      </c>
      <c r="AD29" s="182">
        <f t="shared" si="7"/>
        <v>0</v>
      </c>
      <c r="AE29" s="182">
        <f t="shared" si="7"/>
        <v>0</v>
      </c>
      <c r="AF29" s="182">
        <f t="shared" si="7"/>
        <v>0</v>
      </c>
      <c r="AG29" s="182">
        <f t="shared" si="7"/>
        <v>0</v>
      </c>
      <c r="AH29" s="182">
        <f t="shared" si="7"/>
        <v>0</v>
      </c>
      <c r="AI29" s="182">
        <f t="shared" si="7"/>
        <v>0</v>
      </c>
      <c r="AJ29" s="182">
        <f t="shared" si="7"/>
        <v>0</v>
      </c>
      <c r="AK29" s="182">
        <f t="shared" si="7"/>
        <v>0</v>
      </c>
      <c r="AL29" s="182">
        <f t="shared" si="7"/>
        <v>0</v>
      </c>
      <c r="AM29" s="182">
        <f t="shared" si="7"/>
        <v>0</v>
      </c>
      <c r="AN29" s="182">
        <f t="shared" si="7"/>
        <v>0</v>
      </c>
      <c r="AO29" s="182">
        <f t="shared" si="7"/>
        <v>0</v>
      </c>
      <c r="AP29" s="182">
        <f t="shared" si="7"/>
        <v>0</v>
      </c>
      <c r="AQ29" s="182">
        <f t="shared" si="7"/>
        <v>0</v>
      </c>
      <c r="AR29" s="182">
        <f t="shared" si="7"/>
        <v>0</v>
      </c>
      <c r="AS29" s="182">
        <f t="shared" si="7"/>
        <v>0</v>
      </c>
      <c r="AT29" s="182">
        <f t="shared" si="7"/>
        <v>0</v>
      </c>
      <c r="AU29" s="182">
        <f t="shared" si="7"/>
        <v>0</v>
      </c>
      <c r="AV29" s="182">
        <f t="shared" si="7"/>
        <v>0</v>
      </c>
      <c r="AW29" s="182">
        <f t="shared" si="7"/>
        <v>0</v>
      </c>
      <c r="AX29" s="182">
        <f t="shared" si="7"/>
        <v>0</v>
      </c>
      <c r="AY29" s="182">
        <f t="shared" si="7"/>
        <v>0</v>
      </c>
    </row>
    <row r="30" spans="1:56" s="234" customFormat="1" ht="50.5" customHeight="1" x14ac:dyDescent="0.35">
      <c r="A30" s="244" t="s">
        <v>213</v>
      </c>
      <c r="B30" s="231"/>
      <c r="C30" s="232"/>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3"/>
    </row>
    <row r="31" spans="1:56" s="189" customFormat="1" ht="29" customHeight="1" x14ac:dyDescent="0.35">
      <c r="A31" s="218" t="s">
        <v>206</v>
      </c>
      <c r="B31" s="219"/>
      <c r="C31" s="220"/>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row>
    <row r="32" spans="1:56" s="174" customFormat="1" x14ac:dyDescent="0.35">
      <c r="A32" s="207" t="s">
        <v>198</v>
      </c>
      <c r="B32" s="171"/>
      <c r="C32" s="172"/>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row>
    <row r="33" spans="1:51" s="225" customFormat="1" ht="13" x14ac:dyDescent="0.3">
      <c r="A33" s="222" t="s">
        <v>98</v>
      </c>
      <c r="B33" s="175" t="s">
        <v>107</v>
      </c>
      <c r="C33" s="223"/>
      <c r="D33" s="226">
        <v>15000</v>
      </c>
      <c r="E33" s="226">
        <f t="shared" ref="E33:O33" si="8">D33</f>
        <v>15000</v>
      </c>
      <c r="F33" s="226">
        <f t="shared" si="8"/>
        <v>15000</v>
      </c>
      <c r="G33" s="226">
        <f t="shared" si="8"/>
        <v>15000</v>
      </c>
      <c r="H33" s="226">
        <f t="shared" si="8"/>
        <v>15000</v>
      </c>
      <c r="I33" s="226">
        <f t="shared" si="8"/>
        <v>15000</v>
      </c>
      <c r="J33" s="226">
        <f t="shared" si="8"/>
        <v>15000</v>
      </c>
      <c r="K33" s="226">
        <f t="shared" si="8"/>
        <v>15000</v>
      </c>
      <c r="L33" s="226">
        <f t="shared" si="8"/>
        <v>15000</v>
      </c>
      <c r="M33" s="226">
        <f t="shared" si="8"/>
        <v>15000</v>
      </c>
      <c r="N33" s="226">
        <f t="shared" si="8"/>
        <v>15000</v>
      </c>
      <c r="O33" s="226">
        <f t="shared" si="8"/>
        <v>15000</v>
      </c>
      <c r="P33" s="226">
        <f t="shared" ref="P33:AY33" si="9">O33</f>
        <v>15000</v>
      </c>
      <c r="Q33" s="226">
        <f t="shared" si="9"/>
        <v>15000</v>
      </c>
      <c r="R33" s="226">
        <f t="shared" si="9"/>
        <v>15000</v>
      </c>
      <c r="S33" s="226">
        <f t="shared" si="9"/>
        <v>15000</v>
      </c>
      <c r="T33" s="226">
        <f t="shared" si="9"/>
        <v>15000</v>
      </c>
      <c r="U33" s="226">
        <f t="shared" si="9"/>
        <v>15000</v>
      </c>
      <c r="V33" s="226">
        <f t="shared" si="9"/>
        <v>15000</v>
      </c>
      <c r="W33" s="226">
        <f t="shared" si="9"/>
        <v>15000</v>
      </c>
      <c r="X33" s="226">
        <f t="shared" si="9"/>
        <v>15000</v>
      </c>
      <c r="Y33" s="226">
        <f t="shared" si="9"/>
        <v>15000</v>
      </c>
      <c r="Z33" s="226">
        <f t="shared" si="9"/>
        <v>15000</v>
      </c>
      <c r="AA33" s="226">
        <f t="shared" si="9"/>
        <v>15000</v>
      </c>
      <c r="AB33" s="226">
        <f t="shared" si="9"/>
        <v>15000</v>
      </c>
      <c r="AC33" s="226">
        <f t="shared" si="9"/>
        <v>15000</v>
      </c>
      <c r="AD33" s="226">
        <f t="shared" si="9"/>
        <v>15000</v>
      </c>
      <c r="AE33" s="226">
        <f t="shared" si="9"/>
        <v>15000</v>
      </c>
      <c r="AF33" s="226">
        <f t="shared" si="9"/>
        <v>15000</v>
      </c>
      <c r="AG33" s="226">
        <f t="shared" si="9"/>
        <v>15000</v>
      </c>
      <c r="AH33" s="226">
        <f t="shared" si="9"/>
        <v>15000</v>
      </c>
      <c r="AI33" s="226">
        <f t="shared" si="9"/>
        <v>15000</v>
      </c>
      <c r="AJ33" s="226">
        <f t="shared" si="9"/>
        <v>15000</v>
      </c>
      <c r="AK33" s="226">
        <f t="shared" si="9"/>
        <v>15000</v>
      </c>
      <c r="AL33" s="226">
        <f t="shared" si="9"/>
        <v>15000</v>
      </c>
      <c r="AM33" s="226">
        <f t="shared" si="9"/>
        <v>15000</v>
      </c>
      <c r="AN33" s="226">
        <f t="shared" si="9"/>
        <v>15000</v>
      </c>
      <c r="AO33" s="226">
        <f t="shared" si="9"/>
        <v>15000</v>
      </c>
      <c r="AP33" s="226">
        <f t="shared" si="9"/>
        <v>15000</v>
      </c>
      <c r="AQ33" s="226">
        <f t="shared" si="9"/>
        <v>15000</v>
      </c>
      <c r="AR33" s="226">
        <f t="shared" si="9"/>
        <v>15000</v>
      </c>
      <c r="AS33" s="226">
        <f t="shared" si="9"/>
        <v>15000</v>
      </c>
      <c r="AT33" s="226">
        <f t="shared" si="9"/>
        <v>15000</v>
      </c>
      <c r="AU33" s="226">
        <f t="shared" si="9"/>
        <v>15000</v>
      </c>
      <c r="AV33" s="226">
        <f t="shared" si="9"/>
        <v>15000</v>
      </c>
      <c r="AW33" s="226">
        <f t="shared" si="9"/>
        <v>15000</v>
      </c>
      <c r="AX33" s="226">
        <f t="shared" si="9"/>
        <v>15000</v>
      </c>
      <c r="AY33" s="226">
        <f t="shared" si="9"/>
        <v>15000</v>
      </c>
    </row>
    <row r="34" spans="1:51" s="187" customFormat="1" x14ac:dyDescent="0.35">
      <c r="A34" s="187" t="str">
        <f>A31</f>
        <v>a. Donations</v>
      </c>
      <c r="B34" s="185" t="s">
        <v>108</v>
      </c>
      <c r="C34" s="208">
        <f>SUM(D34:AY34)</f>
        <v>15000</v>
      </c>
      <c r="D34" s="186">
        <f>IF(D22&gt;0,D33,0)</f>
        <v>0</v>
      </c>
      <c r="E34" s="186">
        <f>IF(AND(SUM($D34:D34)=0,E22&gt;0),E33,0)</f>
        <v>0</v>
      </c>
      <c r="F34" s="186">
        <f>IF(AND(SUM($D34:E34)=0,F22&gt;0),F33,0)</f>
        <v>0</v>
      </c>
      <c r="G34" s="186">
        <f>IF(AND(SUM($D34:F34)=0,G22&gt;0),G33,0)</f>
        <v>0</v>
      </c>
      <c r="H34" s="186">
        <f>IF(AND(SUM($D34:G34)=0,H22&gt;0),H33,0)</f>
        <v>0</v>
      </c>
      <c r="I34" s="186">
        <f>IF(AND(SUM($D34:H34)=0,I22&gt;0),I33,0)</f>
        <v>0</v>
      </c>
      <c r="J34" s="186">
        <f>IF(AND(SUM($D34:I34)=0,J22&gt;0),J33,0)</f>
        <v>15000</v>
      </c>
      <c r="K34" s="186">
        <f>IF(AND(SUM($D34:J34)=0,K22&gt;0),K33,0)</f>
        <v>0</v>
      </c>
      <c r="L34" s="186">
        <f>IF(AND(SUM($D34:K34)=0,L22&gt;0),L33,0)</f>
        <v>0</v>
      </c>
      <c r="M34" s="186">
        <f>IF(AND(SUM($D34:L34)=0,M22&gt;0),M33,0)</f>
        <v>0</v>
      </c>
      <c r="N34" s="186">
        <f>IF(AND(SUM($D34:M34)=0,N22&gt;0),N33,0)</f>
        <v>0</v>
      </c>
      <c r="O34" s="186">
        <f>IF(AND(SUM($D34:N34)=0,O22&gt;0),O33,0)</f>
        <v>0</v>
      </c>
      <c r="P34" s="186">
        <f>IF(AND(SUM($D34:O34)=0,P22&gt;0),P33,0)</f>
        <v>0</v>
      </c>
      <c r="Q34" s="186">
        <f>IF(AND(SUM($D34:P34)=0,Q22&gt;0),Q33,0)</f>
        <v>0</v>
      </c>
      <c r="R34" s="186">
        <f>IF(AND(SUM($D34:Q34)=0,R22&gt;0),R33,0)</f>
        <v>0</v>
      </c>
      <c r="S34" s="186">
        <f>IF(AND(SUM($D34:R34)=0,S22&gt;0),S33,0)</f>
        <v>0</v>
      </c>
      <c r="T34" s="186">
        <f>IF(AND(SUM($D34:S34)=0,T22&gt;0),T33,0)</f>
        <v>0</v>
      </c>
      <c r="U34" s="186">
        <f>IF(AND(SUM($D34:T34)=0,U22&gt;0),U33,0)</f>
        <v>0</v>
      </c>
      <c r="V34" s="186">
        <f>IF(AND(SUM($D34:U34)=0,V22&gt;0),V33,0)</f>
        <v>0</v>
      </c>
      <c r="W34" s="186">
        <f>IF(AND(SUM($D34:V34)=0,W22&gt;0),W33,0)</f>
        <v>0</v>
      </c>
      <c r="X34" s="186">
        <f>IF(AND(SUM($D34:W34)=0,X22&gt;0),X33,0)</f>
        <v>0</v>
      </c>
      <c r="Y34" s="186">
        <f>IF(AND(SUM($D34:X34)=0,Y22&gt;0),Y33,0)</f>
        <v>0</v>
      </c>
      <c r="Z34" s="186">
        <f>IF(AND(SUM($D34:Y34)=0,Z22&gt;0),Z33,0)</f>
        <v>0</v>
      </c>
      <c r="AA34" s="186">
        <f>IF(AND(SUM($D34:Z34)=0,AA22&gt;0),AA33,0)</f>
        <v>0</v>
      </c>
      <c r="AB34" s="186">
        <f>IF(AND(SUM($D34:AA34)=0,AB22&gt;0),AB33,0)</f>
        <v>0</v>
      </c>
      <c r="AC34" s="186">
        <f>IF(AND(SUM($D34:AB34)=0,AC22&gt;0),AC33,0)</f>
        <v>0</v>
      </c>
      <c r="AD34" s="186">
        <f>IF(AND(SUM($D34:AC34)=0,AD22&gt;0),AD33,0)</f>
        <v>0</v>
      </c>
      <c r="AE34" s="186">
        <f>IF(AND(SUM($D34:AD34)=0,AE22&gt;0),AE33,0)</f>
        <v>0</v>
      </c>
      <c r="AF34" s="186">
        <f>IF(AND(SUM($D34:AE34)=0,AF22&gt;0),AF33,0)</f>
        <v>0</v>
      </c>
      <c r="AG34" s="186">
        <f>IF(AND(SUM($D34:AF34)=0,AG22&gt;0),AG33,0)</f>
        <v>0</v>
      </c>
      <c r="AH34" s="186">
        <f>IF(AND(SUM($D34:AG34)=0,AH22&gt;0),AH33,0)</f>
        <v>0</v>
      </c>
      <c r="AI34" s="186">
        <f>IF(AND(SUM($D34:AH34)=0,AI22&gt;0),AI33,0)</f>
        <v>0</v>
      </c>
      <c r="AJ34" s="186">
        <f>IF(AND(SUM($D34:AI34)=0,AJ22&gt;0),AJ33,0)</f>
        <v>0</v>
      </c>
      <c r="AK34" s="186">
        <f>IF(AND(SUM($D34:AJ34)=0,AK22&gt;0),AK33,0)</f>
        <v>0</v>
      </c>
      <c r="AL34" s="186">
        <f>IF(AND(SUM($D34:AK34)=0,AL22&gt;0),AL33,0)</f>
        <v>0</v>
      </c>
      <c r="AM34" s="186">
        <f>IF(AND(SUM($D34:AL34)=0,AM22&gt;0),AM33,0)</f>
        <v>0</v>
      </c>
      <c r="AN34" s="186">
        <f>IF(AND(SUM($D34:AM34)=0,AN22&gt;0),AN33,0)</f>
        <v>0</v>
      </c>
      <c r="AO34" s="186">
        <f>IF(AND(SUM($D34:AN34)=0,AO22&gt;0),AO33,0)</f>
        <v>0</v>
      </c>
      <c r="AP34" s="186">
        <f>IF(AND(SUM($D34:AO34)=0,AP22&gt;0),AP33,0)</f>
        <v>0</v>
      </c>
      <c r="AQ34" s="186">
        <f>IF(AND(SUM($D34:AP34)=0,AQ22&gt;0),AQ33,0)</f>
        <v>0</v>
      </c>
      <c r="AR34" s="186">
        <f>IF(AND(SUM($D34:AQ34)=0,AR22&gt;0),AR33,0)</f>
        <v>0</v>
      </c>
      <c r="AS34" s="186">
        <f>IF(AND(SUM($D34:AR34)=0,AS22&gt;0),AS33,0)</f>
        <v>0</v>
      </c>
      <c r="AT34" s="186">
        <f>IF(AND(SUM($D34:AS34)=0,AT22&gt;0),AT33,0)</f>
        <v>0</v>
      </c>
      <c r="AU34" s="186">
        <f>IF(AND(SUM($D34:AT34)=0,AU22&gt;0),AU33,0)</f>
        <v>0</v>
      </c>
      <c r="AV34" s="186">
        <f>IF(AND(SUM($D34:AU34)=0,AV22&gt;0),AV33,0)</f>
        <v>0</v>
      </c>
      <c r="AW34" s="186">
        <f>IF(AND(SUM($D34:AV34)=0,AW22&gt;0),AW33,0)</f>
        <v>0</v>
      </c>
      <c r="AX34" s="186">
        <f>IF(AND(SUM($D34:AW34)=0,AX22&gt;0),AX33,0)</f>
        <v>0</v>
      </c>
      <c r="AY34" s="186">
        <f>IF(AND(SUM($D34:AX34)=0,AY22&gt;0),AY33,0)</f>
        <v>0</v>
      </c>
    </row>
    <row r="35" spans="1:51" s="178" customFormat="1" ht="25.5" customHeight="1" x14ac:dyDescent="0.35">
      <c r="A35" s="178" t="s">
        <v>97</v>
      </c>
      <c r="B35" s="178" t="s">
        <v>108</v>
      </c>
      <c r="C35" s="227">
        <f>SUM(D35:AY35)</f>
        <v>179440.5110411841</v>
      </c>
      <c r="D35" s="228">
        <f>D27+D34</f>
        <v>-1100.9162850401781</v>
      </c>
      <c r="E35" s="228">
        <f>E27+E34</f>
        <v>-10216.396976219748</v>
      </c>
      <c r="F35" s="228">
        <f>F27+F34</f>
        <v>-17536.492496851326</v>
      </c>
      <c r="G35" s="228">
        <f>G27+G34</f>
        <v>-24880.959957004517</v>
      </c>
      <c r="H35" s="228">
        <f>H27+H34</f>
        <v>-12099.422154860335</v>
      </c>
      <c r="I35" s="228">
        <f>I27+I34</f>
        <v>-22670.326720843546</v>
      </c>
      <c r="J35" s="228">
        <f>J27+J34</f>
        <v>22170.124863107863</v>
      </c>
      <c r="K35" s="228">
        <f>K27+K34</f>
        <v>5272.6318584461978</v>
      </c>
      <c r="L35" s="228">
        <f>L27+L34</f>
        <v>5297.1800233151753</v>
      </c>
      <c r="M35" s="228">
        <f>M27+M34</f>
        <v>5321.8217786597452</v>
      </c>
      <c r="N35" s="228">
        <f>N27+N34</f>
        <v>5346.5543530434434</v>
      </c>
      <c r="O35" s="228">
        <f>O27+O34</f>
        <v>5371.3749640430078</v>
      </c>
      <c r="P35" s="228">
        <f>P27+P34</f>
        <v>5396.2808173549229</v>
      </c>
      <c r="Q35" s="228">
        <f>Q27+Q34</f>
        <v>5421.2691059038934</v>
      </c>
      <c r="R35" s="228">
        <f>R27+R34</f>
        <v>5446.3370089529499</v>
      </c>
      <c r="S35" s="228">
        <f>S27+S34</f>
        <v>5471.4816912150109</v>
      </c>
      <c r="T35" s="228">
        <f>T27+T34</f>
        <v>5496.7003019656649</v>
      </c>
      <c r="U35" s="228">
        <f>U27+U34</f>
        <v>5521.9899741569207</v>
      </c>
      <c r="V35" s="228">
        <f>V27+V34</f>
        <v>5547.3478235317361</v>
      </c>
      <c r="W35" s="228">
        <f>W27+W34</f>
        <v>5572.7709477391036</v>
      </c>
      <c r="X35" s="228">
        <f>X27+X34</f>
        <v>5598.2564254494328</v>
      </c>
      <c r="Y35" s="228">
        <f>Y27+Y34</f>
        <v>5623.8013154700593</v>
      </c>
      <c r="Z35" s="228">
        <f>Z27+Z34</f>
        <v>5649.4026558606583</v>
      </c>
      <c r="AA35" s="228">
        <f>AA27+AA34</f>
        <v>5675.0574630483179</v>
      </c>
      <c r="AB35" s="228">
        <f>AB27+AB34</f>
        <v>5700.7627309420823</v>
      </c>
      <c r="AC35" s="228">
        <f>AC27+AC34</f>
        <v>5726.5154300467511</v>
      </c>
      <c r="AD35" s="228">
        <f>AD27+AD34</f>
        <v>5752.3125065757313</v>
      </c>
      <c r="AE35" s="228">
        <f>AE27+AE34</f>
        <v>5778.1508815627221</v>
      </c>
      <c r="AF35" s="228">
        <f>AF27+AF34</f>
        <v>5804.0274499720208</v>
      </c>
      <c r="AG35" s="228">
        <f>AG27+AG34</f>
        <v>5829.9390798072582</v>
      </c>
      <c r="AH35" s="228">
        <f>AH27+AH34</f>
        <v>5855.8826112183533</v>
      </c>
      <c r="AI35" s="228">
        <f>AI27+AI34</f>
        <v>5881.8548556064852</v>
      </c>
      <c r="AJ35" s="228">
        <f>AJ27+AJ34</f>
        <v>5907.8525947268472</v>
      </c>
      <c r="AK35" s="228">
        <f>AK27+AK34</f>
        <v>5933.8725797890675</v>
      </c>
      <c r="AL35" s="228">
        <f>AL27+AL34</f>
        <v>5959.911530554964</v>
      </c>
      <c r="AM35" s="228">
        <f>AM27+AM34</f>
        <v>5985.9661344335791</v>
      </c>
      <c r="AN35" s="228">
        <f>AN27+AN34</f>
        <v>6012.0330455731664</v>
      </c>
      <c r="AO35" s="228">
        <f>AO27+AO34</f>
        <v>6038.1088839500189</v>
      </c>
      <c r="AP35" s="228">
        <f>AP27+AP34</f>
        <v>6064.190234453883</v>
      </c>
      <c r="AQ35" s="228">
        <f>AQ27+AQ34</f>
        <v>6090.2736459698226</v>
      </c>
      <c r="AR35" s="228">
        <f>AR27+AR34</f>
        <v>6116.3556304562653</v>
      </c>
      <c r="AS35" s="228">
        <f>AS27+AS34</f>
        <v>6142.4326620190805</v>
      </c>
      <c r="AT35" s="228">
        <f>AT27+AT34</f>
        <v>6168.5011759814952</v>
      </c>
      <c r="AU35" s="228">
        <f>AU27+AU34</f>
        <v>6194.5575679496224</v>
      </c>
      <c r="AV35" s="228">
        <f>AV27+AV34</f>
        <v>6234.5300013769083</v>
      </c>
      <c r="AW35" s="228">
        <f>AW27+AW34</f>
        <v>6243.2860302811478</v>
      </c>
      <c r="AX35" s="228">
        <f>AX27+AX34</f>
        <v>7253.3015907014433</v>
      </c>
      <c r="AY35" s="228">
        <f>AY27+AY34</f>
        <v>14070.023406790951</v>
      </c>
    </row>
    <row r="36" spans="1:51" s="189" customFormat="1" ht="29" customHeight="1" x14ac:dyDescent="0.35">
      <c r="A36" s="218" t="s">
        <v>207</v>
      </c>
      <c r="B36" s="219"/>
      <c r="C36" s="220"/>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row>
    <row r="37" spans="1:51" s="171" customFormat="1" ht="13" x14ac:dyDescent="0.3">
      <c r="A37" s="229" t="s">
        <v>199</v>
      </c>
      <c r="C37" s="223"/>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row>
    <row r="38" spans="1:51" s="225" customFormat="1" ht="13" x14ac:dyDescent="0.3">
      <c r="A38" s="222" t="s">
        <v>96</v>
      </c>
      <c r="B38" s="175" t="s">
        <v>107</v>
      </c>
      <c r="C38" s="223"/>
      <c r="D38" s="226">
        <v>30000</v>
      </c>
      <c r="E38" s="226">
        <f>D38</f>
        <v>30000</v>
      </c>
      <c r="F38" s="226">
        <f t="shared" ref="F38:O38" si="10">E38</f>
        <v>30000</v>
      </c>
      <c r="G38" s="226">
        <f t="shared" si="10"/>
        <v>30000</v>
      </c>
      <c r="H38" s="226">
        <f t="shared" si="10"/>
        <v>30000</v>
      </c>
      <c r="I38" s="226">
        <f t="shared" si="10"/>
        <v>30000</v>
      </c>
      <c r="J38" s="226">
        <f t="shared" si="10"/>
        <v>30000</v>
      </c>
      <c r="K38" s="226">
        <f t="shared" si="10"/>
        <v>30000</v>
      </c>
      <c r="L38" s="226">
        <f t="shared" si="10"/>
        <v>30000</v>
      </c>
      <c r="M38" s="226">
        <f t="shared" si="10"/>
        <v>30000</v>
      </c>
      <c r="N38" s="226">
        <f t="shared" si="10"/>
        <v>30000</v>
      </c>
      <c r="O38" s="226">
        <f t="shared" si="10"/>
        <v>30000</v>
      </c>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row>
    <row r="39" spans="1:51" s="225" customFormat="1" ht="13" x14ac:dyDescent="0.3">
      <c r="A39" s="222" t="s">
        <v>95</v>
      </c>
      <c r="B39" s="175" t="s">
        <v>108</v>
      </c>
      <c r="C39" s="223"/>
      <c r="D39" s="230">
        <v>0.5</v>
      </c>
      <c r="E39" s="230">
        <f>D39</f>
        <v>0.5</v>
      </c>
      <c r="F39" s="230">
        <f>E39</f>
        <v>0.5</v>
      </c>
      <c r="G39" s="230">
        <f t="shared" ref="G39:O39" si="11">F39</f>
        <v>0.5</v>
      </c>
      <c r="H39" s="230">
        <f t="shared" si="11"/>
        <v>0.5</v>
      </c>
      <c r="I39" s="230">
        <f t="shared" si="11"/>
        <v>0.5</v>
      </c>
      <c r="J39" s="230">
        <f t="shared" si="11"/>
        <v>0.5</v>
      </c>
      <c r="K39" s="230">
        <f t="shared" si="11"/>
        <v>0.5</v>
      </c>
      <c r="L39" s="230">
        <f t="shared" si="11"/>
        <v>0.5</v>
      </c>
      <c r="M39" s="230">
        <f t="shared" si="11"/>
        <v>0.5</v>
      </c>
      <c r="N39" s="230">
        <f t="shared" si="11"/>
        <v>0.5</v>
      </c>
      <c r="O39" s="230">
        <f t="shared" si="11"/>
        <v>0.5</v>
      </c>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row>
    <row r="40" spans="1:51" s="174" customFormat="1" ht="16" thickBot="1" x14ac:dyDescent="0.4">
      <c r="B40" s="171"/>
      <c r="C40" s="172"/>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row>
    <row r="41" spans="1:51" s="171" customFormat="1" ht="13.5" thickBot="1" x14ac:dyDescent="0.35">
      <c r="A41" s="171" t="s">
        <v>94</v>
      </c>
      <c r="B41" s="171" t="s">
        <v>108</v>
      </c>
      <c r="C41" s="223"/>
      <c r="D41" s="235">
        <v>0</v>
      </c>
      <c r="E41" s="236">
        <f t="shared" ref="E41:O41" si="12">D46</f>
        <v>550.45814252008904</v>
      </c>
      <c r="F41" s="236">
        <f t="shared" si="12"/>
        <v>5658.6566306299628</v>
      </c>
      <c r="G41" s="236">
        <f t="shared" si="12"/>
        <v>14426.902879055626</v>
      </c>
      <c r="H41" s="236">
        <f t="shared" si="12"/>
        <v>26867.382857557885</v>
      </c>
      <c r="I41" s="236">
        <f t="shared" si="12"/>
        <v>30000</v>
      </c>
      <c r="J41" s="236">
        <f t="shared" si="12"/>
        <v>30000</v>
      </c>
      <c r="K41" s="236">
        <f t="shared" si="12"/>
        <v>7829.8751368921367</v>
      </c>
      <c r="L41" s="236">
        <f t="shared" si="12"/>
        <v>2557.2432784459388</v>
      </c>
      <c r="M41" s="236">
        <f t="shared" si="12"/>
        <v>0</v>
      </c>
      <c r="N41" s="236">
        <f t="shared" si="12"/>
        <v>0</v>
      </c>
      <c r="O41" s="236">
        <f t="shared" si="12"/>
        <v>0</v>
      </c>
      <c r="P41" s="236">
        <f t="shared" ref="P41:AY41" si="13">O46</f>
        <v>0</v>
      </c>
      <c r="Q41" s="236">
        <f t="shared" si="13"/>
        <v>0</v>
      </c>
      <c r="R41" s="236">
        <f t="shared" si="13"/>
        <v>0</v>
      </c>
      <c r="S41" s="236">
        <f t="shared" si="13"/>
        <v>0</v>
      </c>
      <c r="T41" s="236">
        <f t="shared" si="13"/>
        <v>0</v>
      </c>
      <c r="U41" s="236">
        <f t="shared" si="13"/>
        <v>0</v>
      </c>
      <c r="V41" s="236">
        <f t="shared" si="13"/>
        <v>0</v>
      </c>
      <c r="W41" s="236">
        <f t="shared" si="13"/>
        <v>0</v>
      </c>
      <c r="X41" s="236">
        <f t="shared" si="13"/>
        <v>0</v>
      </c>
      <c r="Y41" s="236">
        <f t="shared" si="13"/>
        <v>0</v>
      </c>
      <c r="Z41" s="236">
        <f t="shared" si="13"/>
        <v>0</v>
      </c>
      <c r="AA41" s="236">
        <f t="shared" si="13"/>
        <v>0</v>
      </c>
      <c r="AB41" s="236">
        <f t="shared" si="13"/>
        <v>0</v>
      </c>
      <c r="AC41" s="236">
        <f t="shared" si="13"/>
        <v>0</v>
      </c>
      <c r="AD41" s="236">
        <f t="shared" si="13"/>
        <v>0</v>
      </c>
      <c r="AE41" s="236">
        <f t="shared" si="13"/>
        <v>0</v>
      </c>
      <c r="AF41" s="236">
        <f t="shared" si="13"/>
        <v>0</v>
      </c>
      <c r="AG41" s="236">
        <f t="shared" si="13"/>
        <v>0</v>
      </c>
      <c r="AH41" s="236">
        <f t="shared" si="13"/>
        <v>0</v>
      </c>
      <c r="AI41" s="236">
        <f t="shared" si="13"/>
        <v>0</v>
      </c>
      <c r="AJ41" s="236">
        <f t="shared" si="13"/>
        <v>0</v>
      </c>
      <c r="AK41" s="236">
        <f t="shared" si="13"/>
        <v>0</v>
      </c>
      <c r="AL41" s="236">
        <f t="shared" si="13"/>
        <v>0</v>
      </c>
      <c r="AM41" s="236">
        <f t="shared" si="13"/>
        <v>0</v>
      </c>
      <c r="AN41" s="236">
        <f t="shared" si="13"/>
        <v>0</v>
      </c>
      <c r="AO41" s="236">
        <f t="shared" si="13"/>
        <v>0</v>
      </c>
      <c r="AP41" s="236">
        <f t="shared" si="13"/>
        <v>0</v>
      </c>
      <c r="AQ41" s="236">
        <f t="shared" si="13"/>
        <v>0</v>
      </c>
      <c r="AR41" s="236">
        <f t="shared" si="13"/>
        <v>0</v>
      </c>
      <c r="AS41" s="236">
        <f t="shared" si="13"/>
        <v>0</v>
      </c>
      <c r="AT41" s="236">
        <f t="shared" si="13"/>
        <v>0</v>
      </c>
      <c r="AU41" s="236">
        <f t="shared" si="13"/>
        <v>0</v>
      </c>
      <c r="AV41" s="236">
        <f t="shared" si="13"/>
        <v>0</v>
      </c>
      <c r="AW41" s="236">
        <f t="shared" si="13"/>
        <v>0</v>
      </c>
      <c r="AX41" s="236">
        <f t="shared" si="13"/>
        <v>0</v>
      </c>
      <c r="AY41" s="236">
        <f t="shared" si="13"/>
        <v>0</v>
      </c>
    </row>
    <row r="42" spans="1:51" s="171" customFormat="1" ht="13" x14ac:dyDescent="0.3">
      <c r="A42" s="171" t="s">
        <v>93</v>
      </c>
      <c r="B42" s="171" t="s">
        <v>108</v>
      </c>
      <c r="C42" s="223"/>
      <c r="D42" s="236">
        <f t="shared" ref="D42:O42" si="14">MAX(D38-D41,0)</f>
        <v>30000</v>
      </c>
      <c r="E42" s="236">
        <f t="shared" si="14"/>
        <v>29449.541857479911</v>
      </c>
      <c r="F42" s="236">
        <f t="shared" si="14"/>
        <v>24341.343369370035</v>
      </c>
      <c r="G42" s="236">
        <f t="shared" si="14"/>
        <v>15573.097120944374</v>
      </c>
      <c r="H42" s="236">
        <f t="shared" si="14"/>
        <v>3132.6171424421154</v>
      </c>
      <c r="I42" s="236">
        <f t="shared" si="14"/>
        <v>0</v>
      </c>
      <c r="J42" s="236">
        <f t="shared" si="14"/>
        <v>0</v>
      </c>
      <c r="K42" s="236">
        <f t="shared" si="14"/>
        <v>22170.124863107863</v>
      </c>
      <c r="L42" s="236">
        <f t="shared" si="14"/>
        <v>27442.756721554062</v>
      </c>
      <c r="M42" s="236">
        <f t="shared" si="14"/>
        <v>30000</v>
      </c>
      <c r="N42" s="236">
        <f t="shared" si="14"/>
        <v>30000</v>
      </c>
      <c r="O42" s="236">
        <f t="shared" si="14"/>
        <v>30000</v>
      </c>
      <c r="P42" s="236">
        <f t="shared" ref="P42:AY42" si="15">MAX(P38-P41,0)</f>
        <v>0</v>
      </c>
      <c r="Q42" s="236">
        <f t="shared" si="15"/>
        <v>0</v>
      </c>
      <c r="R42" s="236">
        <f t="shared" si="15"/>
        <v>0</v>
      </c>
      <c r="S42" s="236">
        <f t="shared" si="15"/>
        <v>0</v>
      </c>
      <c r="T42" s="236">
        <f t="shared" si="15"/>
        <v>0</v>
      </c>
      <c r="U42" s="236">
        <f t="shared" si="15"/>
        <v>0</v>
      </c>
      <c r="V42" s="236">
        <f t="shared" si="15"/>
        <v>0</v>
      </c>
      <c r="W42" s="236">
        <f t="shared" si="15"/>
        <v>0</v>
      </c>
      <c r="X42" s="236">
        <f t="shared" si="15"/>
        <v>0</v>
      </c>
      <c r="Y42" s="236">
        <f t="shared" si="15"/>
        <v>0</v>
      </c>
      <c r="Z42" s="236">
        <f t="shared" si="15"/>
        <v>0</v>
      </c>
      <c r="AA42" s="236">
        <f t="shared" si="15"/>
        <v>0</v>
      </c>
      <c r="AB42" s="236">
        <f t="shared" si="15"/>
        <v>0</v>
      </c>
      <c r="AC42" s="236">
        <f t="shared" si="15"/>
        <v>0</v>
      </c>
      <c r="AD42" s="236">
        <f t="shared" si="15"/>
        <v>0</v>
      </c>
      <c r="AE42" s="236">
        <f t="shared" si="15"/>
        <v>0</v>
      </c>
      <c r="AF42" s="236">
        <f t="shared" si="15"/>
        <v>0</v>
      </c>
      <c r="AG42" s="236">
        <f t="shared" si="15"/>
        <v>0</v>
      </c>
      <c r="AH42" s="236">
        <f t="shared" si="15"/>
        <v>0</v>
      </c>
      <c r="AI42" s="236">
        <f t="shared" si="15"/>
        <v>0</v>
      </c>
      <c r="AJ42" s="236">
        <f t="shared" si="15"/>
        <v>0</v>
      </c>
      <c r="AK42" s="236">
        <f t="shared" si="15"/>
        <v>0</v>
      </c>
      <c r="AL42" s="236">
        <f t="shared" si="15"/>
        <v>0</v>
      </c>
      <c r="AM42" s="236">
        <f t="shared" si="15"/>
        <v>0</v>
      </c>
      <c r="AN42" s="236">
        <f t="shared" si="15"/>
        <v>0</v>
      </c>
      <c r="AO42" s="236">
        <f t="shared" si="15"/>
        <v>0</v>
      </c>
      <c r="AP42" s="236">
        <f t="shared" si="15"/>
        <v>0</v>
      </c>
      <c r="AQ42" s="236">
        <f t="shared" si="15"/>
        <v>0</v>
      </c>
      <c r="AR42" s="236">
        <f t="shared" si="15"/>
        <v>0</v>
      </c>
      <c r="AS42" s="236">
        <f t="shared" si="15"/>
        <v>0</v>
      </c>
      <c r="AT42" s="236">
        <f t="shared" si="15"/>
        <v>0</v>
      </c>
      <c r="AU42" s="236">
        <f t="shared" si="15"/>
        <v>0</v>
      </c>
      <c r="AV42" s="236">
        <f t="shared" si="15"/>
        <v>0</v>
      </c>
      <c r="AW42" s="236">
        <f t="shared" si="15"/>
        <v>0</v>
      </c>
      <c r="AX42" s="236">
        <f t="shared" si="15"/>
        <v>0</v>
      </c>
      <c r="AY42" s="236">
        <f t="shared" si="15"/>
        <v>0</v>
      </c>
    </row>
    <row r="43" spans="1:51" s="171" customFormat="1" ht="13" x14ac:dyDescent="0.3">
      <c r="A43" s="171" t="s">
        <v>92</v>
      </c>
      <c r="B43" s="171" t="s">
        <v>108</v>
      </c>
      <c r="C43" s="223"/>
      <c r="D43" s="236">
        <f>IF(D27&lt;0,-D27*D39,0)</f>
        <v>550.45814252008904</v>
      </c>
      <c r="E43" s="236">
        <f>IF(E27&lt;0,-E27*E39,0)</f>
        <v>5108.1984881098742</v>
      </c>
      <c r="F43" s="236">
        <f>IF(F27&lt;0,-F27*F39,0)</f>
        <v>8768.246248425663</v>
      </c>
      <c r="G43" s="236">
        <f>IF(G27&lt;0,-G27*G39,0)</f>
        <v>12440.479978502259</v>
      </c>
      <c r="H43" s="236">
        <f>IF(H27&lt;0,-H27*H39,0)</f>
        <v>6049.7110774301673</v>
      </c>
      <c r="I43" s="236">
        <f>IF(I27&lt;0,-I27*I39,0)</f>
        <v>11335.163360421773</v>
      </c>
      <c r="J43" s="236">
        <f>IF(J27&lt;0,-J27*J39,0)</f>
        <v>0</v>
      </c>
      <c r="K43" s="236">
        <f>IF(K27&lt;0,-K27*K39,0)</f>
        <v>0</v>
      </c>
      <c r="L43" s="236">
        <f>IF(L27&lt;0,-L27*L39,0)</f>
        <v>0</v>
      </c>
      <c r="M43" s="236">
        <f>IF(M27&lt;0,-M27*M39,0)</f>
        <v>0</v>
      </c>
      <c r="N43" s="236">
        <f>IF(N27&lt;0,-N27*N39,0)</f>
        <v>0</v>
      </c>
      <c r="O43" s="236">
        <f>IF(O27&lt;0,-O27*O39,0)</f>
        <v>0</v>
      </c>
      <c r="P43" s="236">
        <f>IF(P27&lt;0,-P27*P39,0)</f>
        <v>0</v>
      </c>
      <c r="Q43" s="236">
        <f>IF(Q27&lt;0,-Q27*Q39,0)</f>
        <v>0</v>
      </c>
      <c r="R43" s="236">
        <f>IF(R27&lt;0,-R27*R39,0)</f>
        <v>0</v>
      </c>
      <c r="S43" s="236">
        <f>IF(S27&lt;0,-S27*S39,0)</f>
        <v>0</v>
      </c>
      <c r="T43" s="236">
        <f>IF(T27&lt;0,-T27*T39,0)</f>
        <v>0</v>
      </c>
      <c r="U43" s="236">
        <f>IF(U27&lt;0,-U27*U39,0)</f>
        <v>0</v>
      </c>
      <c r="V43" s="236">
        <f>IF(V27&lt;0,-V27*V39,0)</f>
        <v>0</v>
      </c>
      <c r="W43" s="236">
        <f>IF(W27&lt;0,-W27*W39,0)</f>
        <v>0</v>
      </c>
      <c r="X43" s="236">
        <f>IF(X27&lt;0,-X27*X39,0)</f>
        <v>0</v>
      </c>
      <c r="Y43" s="236">
        <f>IF(Y27&lt;0,-Y27*Y39,0)</f>
        <v>0</v>
      </c>
      <c r="Z43" s="236">
        <f>IF(Z27&lt;0,-Z27*Z39,0)</f>
        <v>0</v>
      </c>
      <c r="AA43" s="236">
        <f>IF(AA27&lt;0,-AA27*AA39,0)</f>
        <v>0</v>
      </c>
      <c r="AB43" s="236">
        <f>IF(AB27&lt;0,-AB27*AB39,0)</f>
        <v>0</v>
      </c>
      <c r="AC43" s="236">
        <f>IF(AC27&lt;0,-AC27*AC39,0)</f>
        <v>0</v>
      </c>
      <c r="AD43" s="236">
        <f>IF(AD27&lt;0,-AD27*AD39,0)</f>
        <v>0</v>
      </c>
      <c r="AE43" s="236">
        <f>IF(AE27&lt;0,-AE27*AE39,0)</f>
        <v>0</v>
      </c>
      <c r="AF43" s="236">
        <f>IF(AF27&lt;0,-AF27*AF39,0)</f>
        <v>0</v>
      </c>
      <c r="AG43" s="236">
        <f>IF(AG27&lt;0,-AG27*AG39,0)</f>
        <v>0</v>
      </c>
      <c r="AH43" s="236">
        <f>IF(AH27&lt;0,-AH27*AH39,0)</f>
        <v>0</v>
      </c>
      <c r="AI43" s="236">
        <f>IF(AI27&lt;0,-AI27*AI39,0)</f>
        <v>0</v>
      </c>
      <c r="AJ43" s="236">
        <f>IF(AJ27&lt;0,-AJ27*AJ39,0)</f>
        <v>0</v>
      </c>
      <c r="AK43" s="236">
        <f>IF(AK27&lt;0,-AK27*AK39,0)</f>
        <v>0</v>
      </c>
      <c r="AL43" s="236">
        <f>IF(AL27&lt;0,-AL27*AL39,0)</f>
        <v>0</v>
      </c>
      <c r="AM43" s="236">
        <f>IF(AM27&lt;0,-AM27*AM39,0)</f>
        <v>0</v>
      </c>
      <c r="AN43" s="236">
        <f>IF(AN27&lt;0,-AN27*AN39,0)</f>
        <v>0</v>
      </c>
      <c r="AO43" s="236">
        <f>IF(AO27&lt;0,-AO27*AO39,0)</f>
        <v>0</v>
      </c>
      <c r="AP43" s="236">
        <f>IF(AP27&lt;0,-AP27*AP39,0)</f>
        <v>0</v>
      </c>
      <c r="AQ43" s="236">
        <f>IF(AQ27&lt;0,-AQ27*AQ39,0)</f>
        <v>0</v>
      </c>
      <c r="AR43" s="236">
        <f>IF(AR27&lt;0,-AR27*AR39,0)</f>
        <v>0</v>
      </c>
      <c r="AS43" s="236">
        <f>IF(AS27&lt;0,-AS27*AS39,0)</f>
        <v>0</v>
      </c>
      <c r="AT43" s="236">
        <f>IF(AT27&lt;0,-AT27*AT39,0)</f>
        <v>0</v>
      </c>
      <c r="AU43" s="236">
        <f>IF(AU27&lt;0,-AU27*AU39,0)</f>
        <v>0</v>
      </c>
      <c r="AV43" s="236">
        <f>IF(AV27&lt;0,-AV27*AV39,0)</f>
        <v>0</v>
      </c>
      <c r="AW43" s="236">
        <f>IF(AW27&lt;0,-AW27*AW39,0)</f>
        <v>0</v>
      </c>
      <c r="AX43" s="236">
        <f>IF(AX27&lt;0,-AX27*AX39,0)</f>
        <v>0</v>
      </c>
      <c r="AY43" s="236">
        <f>IF(AY27&lt;0,-AY27*AY39,0)</f>
        <v>0</v>
      </c>
    </row>
    <row r="44" spans="1:51" s="187" customFormat="1" ht="18.5" x14ac:dyDescent="0.35">
      <c r="A44" s="209" t="s">
        <v>91</v>
      </c>
      <c r="B44" s="185" t="s">
        <v>108</v>
      </c>
      <c r="C44" s="208">
        <f>SUM(D44:AY44)</f>
        <v>30000</v>
      </c>
      <c r="D44" s="180">
        <f>IF(D35&lt;0,MIN(D42,D43),0)</f>
        <v>550.45814252008904</v>
      </c>
      <c r="E44" s="180">
        <f>IF(E35&lt;0,MIN(E42,E43),0)</f>
        <v>5108.1984881098742</v>
      </c>
      <c r="F44" s="180">
        <f>IF(F35&lt;0,MIN(F42,F43),0)</f>
        <v>8768.246248425663</v>
      </c>
      <c r="G44" s="180">
        <f>IF(G35&lt;0,MIN(G42,G43),0)</f>
        <v>12440.479978502259</v>
      </c>
      <c r="H44" s="180">
        <f>IF(H35&lt;0,MIN(H42,H43),0)</f>
        <v>3132.6171424421154</v>
      </c>
      <c r="I44" s="180">
        <f>IF(I35&lt;0,MIN(I42,I43),0)</f>
        <v>0</v>
      </c>
      <c r="J44" s="180">
        <f>IF(J35&lt;0,MIN(J42,J43),0)</f>
        <v>0</v>
      </c>
      <c r="K44" s="180">
        <f>IF(K35&lt;0,MIN(K42,K43),0)</f>
        <v>0</v>
      </c>
      <c r="L44" s="180">
        <f>IF(L35&lt;0,MIN(L42,L43),0)</f>
        <v>0</v>
      </c>
      <c r="M44" s="180">
        <f>IF(M35&lt;0,MIN(M42,M43),0)</f>
        <v>0</v>
      </c>
      <c r="N44" s="180">
        <f>IF(N35&lt;0,MIN(N42,N43),0)</f>
        <v>0</v>
      </c>
      <c r="O44" s="180">
        <f>IF(O35&lt;0,MIN(O42,O43),0)</f>
        <v>0</v>
      </c>
      <c r="P44" s="180">
        <f>IF(P35&lt;0,MIN(P42,P43),0)</f>
        <v>0</v>
      </c>
      <c r="Q44" s="180">
        <f>IF(Q35&lt;0,MIN(Q42,Q43),0)</f>
        <v>0</v>
      </c>
      <c r="R44" s="180">
        <f>IF(R35&lt;0,MIN(R42,R43),0)</f>
        <v>0</v>
      </c>
      <c r="S44" s="180">
        <f>IF(S35&lt;0,MIN(S42,S43),0)</f>
        <v>0</v>
      </c>
      <c r="T44" s="180">
        <f>IF(T35&lt;0,MIN(T42,T43),0)</f>
        <v>0</v>
      </c>
      <c r="U44" s="180">
        <f>IF(U35&lt;0,MIN(U42,U43),0)</f>
        <v>0</v>
      </c>
      <c r="V44" s="180">
        <f>IF(V35&lt;0,MIN(V42,V43),0)</f>
        <v>0</v>
      </c>
      <c r="W44" s="180">
        <f>IF(W35&lt;0,MIN(W42,W43),0)</f>
        <v>0</v>
      </c>
      <c r="X44" s="180">
        <f>IF(X35&lt;0,MIN(X42,X43),0)</f>
        <v>0</v>
      </c>
      <c r="Y44" s="180">
        <f>IF(Y35&lt;0,MIN(Y42,Y43),0)</f>
        <v>0</v>
      </c>
      <c r="Z44" s="180">
        <f>IF(Z35&lt;0,MIN(Z42,Z43),0)</f>
        <v>0</v>
      </c>
      <c r="AA44" s="180">
        <f>IF(AA35&lt;0,MIN(AA42,AA43),0)</f>
        <v>0</v>
      </c>
      <c r="AB44" s="180">
        <f>IF(AB35&lt;0,MIN(AB42,AB43),0)</f>
        <v>0</v>
      </c>
      <c r="AC44" s="180">
        <f>IF(AC35&lt;0,MIN(AC42,AC43),0)</f>
        <v>0</v>
      </c>
      <c r="AD44" s="180">
        <f>IF(AD35&lt;0,MIN(AD42,AD43),0)</f>
        <v>0</v>
      </c>
      <c r="AE44" s="180">
        <f>IF(AE35&lt;0,MIN(AE42,AE43),0)</f>
        <v>0</v>
      </c>
      <c r="AF44" s="180">
        <f>IF(AF35&lt;0,MIN(AF42,AF43),0)</f>
        <v>0</v>
      </c>
      <c r="AG44" s="180">
        <f>IF(AG35&lt;0,MIN(AG42,AG43),0)</f>
        <v>0</v>
      </c>
      <c r="AH44" s="180">
        <f>IF(AH35&lt;0,MIN(AH42,AH43),0)</f>
        <v>0</v>
      </c>
      <c r="AI44" s="180">
        <f>IF(AI35&lt;0,MIN(AI42,AI43),0)</f>
        <v>0</v>
      </c>
      <c r="AJ44" s="180">
        <f>IF(AJ35&lt;0,MIN(AJ42,AJ43),0)</f>
        <v>0</v>
      </c>
      <c r="AK44" s="180">
        <f>IF(AK35&lt;0,MIN(AK42,AK43),0)</f>
        <v>0</v>
      </c>
      <c r="AL44" s="180">
        <f>IF(AL35&lt;0,MIN(AL42,AL43),0)</f>
        <v>0</v>
      </c>
      <c r="AM44" s="180">
        <f>IF(AM35&lt;0,MIN(AM42,AM43),0)</f>
        <v>0</v>
      </c>
      <c r="AN44" s="180">
        <f>IF(AN35&lt;0,MIN(AN42,AN43),0)</f>
        <v>0</v>
      </c>
      <c r="AO44" s="180">
        <f>IF(AO35&lt;0,MIN(AO42,AO43),0)</f>
        <v>0</v>
      </c>
      <c r="AP44" s="180">
        <f>IF(AP35&lt;0,MIN(AP42,AP43),0)</f>
        <v>0</v>
      </c>
      <c r="AQ44" s="180">
        <f>IF(AQ35&lt;0,MIN(AQ42,AQ43),0)</f>
        <v>0</v>
      </c>
      <c r="AR44" s="180">
        <f>IF(AR35&lt;0,MIN(AR42,AR43),0)</f>
        <v>0</v>
      </c>
      <c r="AS44" s="180">
        <f>IF(AS35&lt;0,MIN(AS42,AS43),0)</f>
        <v>0</v>
      </c>
      <c r="AT44" s="180">
        <f>IF(AT35&lt;0,MIN(AT42,AT43),0)</f>
        <v>0</v>
      </c>
      <c r="AU44" s="180">
        <f>IF(AU35&lt;0,MIN(AU42,AU43),0)</f>
        <v>0</v>
      </c>
      <c r="AV44" s="180">
        <f>IF(AV35&lt;0,MIN(AV42,AV43),0)</f>
        <v>0</v>
      </c>
      <c r="AW44" s="180">
        <f>IF(AW35&lt;0,MIN(AW42,AW43),0)</f>
        <v>0</v>
      </c>
      <c r="AX44" s="180">
        <f>IF(AX35&lt;0,MIN(AX42,AX43),0)</f>
        <v>0</v>
      </c>
      <c r="AY44" s="180">
        <f>IF(AY35&lt;0,MIN(AY42,AY43),0)</f>
        <v>0</v>
      </c>
    </row>
    <row r="45" spans="1:51" s="189" customFormat="1" ht="18.5" x14ac:dyDescent="0.35">
      <c r="A45" s="209" t="s">
        <v>208</v>
      </c>
      <c r="B45" s="185" t="s">
        <v>108</v>
      </c>
      <c r="C45" s="208">
        <f>SUM(D45:AY45)</f>
        <v>-30000</v>
      </c>
      <c r="D45" s="188">
        <f>-IF(D35&gt;0,MIN(D35,D41+D44),0)</f>
        <v>0</v>
      </c>
      <c r="E45" s="188">
        <f>-IF(E35&gt;0,MIN(E35,E41+E44),0)</f>
        <v>0</v>
      </c>
      <c r="F45" s="188">
        <f>-IF(F35&gt;0,MIN(F35,F41+F44),0)</f>
        <v>0</v>
      </c>
      <c r="G45" s="188">
        <f>-IF(G35&gt;0,MIN(G35,G41+G44),0)</f>
        <v>0</v>
      </c>
      <c r="H45" s="188">
        <f>-IF(H35&gt;0,MIN(H35,H41+H44),0)</f>
        <v>0</v>
      </c>
      <c r="I45" s="188">
        <f>-IF(I35&gt;0,MIN(I35,I41+I44),0)</f>
        <v>0</v>
      </c>
      <c r="J45" s="188">
        <f>-IF(J35&gt;0,MIN(J35,J41+J44),0)</f>
        <v>-22170.124863107863</v>
      </c>
      <c r="K45" s="188">
        <f>-IF(K35&gt;0,MIN(K35,K41+K44),0)</f>
        <v>-5272.6318584461978</v>
      </c>
      <c r="L45" s="188">
        <f>-IF(L35&gt;0,MIN(L35,L41+L44),0)</f>
        <v>-2557.2432784459388</v>
      </c>
      <c r="M45" s="188">
        <f>-IF(M35&gt;0,MIN(M35,M41+M44),0)</f>
        <v>0</v>
      </c>
      <c r="N45" s="188">
        <f>-IF(N35&gt;0,MIN(N35,N41+N44),0)</f>
        <v>0</v>
      </c>
      <c r="O45" s="188">
        <f>-IF(O35&gt;0,MIN(O35,O41+O44),0)</f>
        <v>0</v>
      </c>
      <c r="P45" s="188">
        <f>-IF(P35&gt;0,MIN(P35,P41+P44),0)</f>
        <v>0</v>
      </c>
      <c r="Q45" s="188">
        <f>-IF(Q35&gt;0,MIN(Q35,Q41+Q44),0)</f>
        <v>0</v>
      </c>
      <c r="R45" s="188">
        <f>-IF(R35&gt;0,MIN(R35,R41+R44),0)</f>
        <v>0</v>
      </c>
      <c r="S45" s="188">
        <f>-IF(S35&gt;0,MIN(S35,S41+S44),0)</f>
        <v>0</v>
      </c>
      <c r="T45" s="188">
        <f>-IF(T35&gt;0,MIN(T35,T41+T44),0)</f>
        <v>0</v>
      </c>
      <c r="U45" s="188">
        <f>-IF(U35&gt;0,MIN(U35,U41+U44),0)</f>
        <v>0</v>
      </c>
      <c r="V45" s="188">
        <f>-IF(V35&gt;0,MIN(V35,V41+V44),0)</f>
        <v>0</v>
      </c>
      <c r="W45" s="188">
        <f>-IF(W35&gt;0,MIN(W35,W41+W44),0)</f>
        <v>0</v>
      </c>
      <c r="X45" s="188">
        <f>-IF(X35&gt;0,MIN(X35,X41+X44),0)</f>
        <v>0</v>
      </c>
      <c r="Y45" s="188">
        <f>-IF(Y35&gt;0,MIN(Y35,Y41+Y44),0)</f>
        <v>0</v>
      </c>
      <c r="Z45" s="188">
        <f>-IF(Z35&gt;0,MIN(Z35,Z41+Z44),0)</f>
        <v>0</v>
      </c>
      <c r="AA45" s="188">
        <f>-IF(AA35&gt;0,MIN(AA35,AA41+AA44),0)</f>
        <v>0</v>
      </c>
      <c r="AB45" s="188">
        <f>-IF(AB35&gt;0,MIN(AB35,AB41+AB44),0)</f>
        <v>0</v>
      </c>
      <c r="AC45" s="188">
        <f>-IF(AC35&gt;0,MIN(AC35,AC41+AC44),0)</f>
        <v>0</v>
      </c>
      <c r="AD45" s="188">
        <f>-IF(AD35&gt;0,MIN(AD35,AD41+AD44),0)</f>
        <v>0</v>
      </c>
      <c r="AE45" s="188">
        <f>-IF(AE35&gt;0,MIN(AE35,AE41+AE44),0)</f>
        <v>0</v>
      </c>
      <c r="AF45" s="188">
        <f>-IF(AF35&gt;0,MIN(AF35,AF41+AF44),0)</f>
        <v>0</v>
      </c>
      <c r="AG45" s="188">
        <f>-IF(AG35&gt;0,MIN(AG35,AG41+AG44),0)</f>
        <v>0</v>
      </c>
      <c r="AH45" s="188">
        <f>-IF(AH35&gt;0,MIN(AH35,AH41+AH44),0)</f>
        <v>0</v>
      </c>
      <c r="AI45" s="188">
        <f>-IF(AI35&gt;0,MIN(AI35,AI41+AI44),0)</f>
        <v>0</v>
      </c>
      <c r="AJ45" s="188">
        <f>-IF(AJ35&gt;0,MIN(AJ35,AJ41+AJ44),0)</f>
        <v>0</v>
      </c>
      <c r="AK45" s="188">
        <f>-IF(AK35&gt;0,MIN(AK35,AK41+AK44),0)</f>
        <v>0</v>
      </c>
      <c r="AL45" s="188">
        <f>-IF(AL35&gt;0,MIN(AL35,AL41+AL44),0)</f>
        <v>0</v>
      </c>
      <c r="AM45" s="188">
        <f>-IF(AM35&gt;0,MIN(AM35,AM41+AM44),0)</f>
        <v>0</v>
      </c>
      <c r="AN45" s="188">
        <f>-IF(AN35&gt;0,MIN(AN35,AN41+AN44),0)</f>
        <v>0</v>
      </c>
      <c r="AO45" s="188">
        <f>-IF(AO35&gt;0,MIN(AO35,AO41+AO44),0)</f>
        <v>0</v>
      </c>
      <c r="AP45" s="188">
        <f>-IF(AP35&gt;0,MIN(AP35,AP41+AP44),0)</f>
        <v>0</v>
      </c>
      <c r="AQ45" s="188">
        <f>-IF(AQ35&gt;0,MIN(AQ35,AQ41+AQ44),0)</f>
        <v>0</v>
      </c>
      <c r="AR45" s="188">
        <f>-IF(AR35&gt;0,MIN(AR35,AR41+AR44),0)</f>
        <v>0</v>
      </c>
      <c r="AS45" s="188">
        <f>-IF(AS35&gt;0,MIN(AS35,AS41+AS44),0)</f>
        <v>0</v>
      </c>
      <c r="AT45" s="188">
        <f>-IF(AT35&gt;0,MIN(AT35,AT41+AT44),0)</f>
        <v>0</v>
      </c>
      <c r="AU45" s="188">
        <f>-IF(AU35&gt;0,MIN(AU35,AU41+AU44),0)</f>
        <v>0</v>
      </c>
      <c r="AV45" s="188">
        <f>-IF(AV35&gt;0,MIN(AV35,AV41+AV44),0)</f>
        <v>0</v>
      </c>
      <c r="AW45" s="188">
        <f>-IF(AW35&gt;0,MIN(AW35,AW41+AW44),0)</f>
        <v>0</v>
      </c>
      <c r="AX45" s="188">
        <f>-IF(AX35&gt;0,MIN(AX35,AX41+AX44),0)</f>
        <v>0</v>
      </c>
      <c r="AY45" s="188">
        <f>-IF(AY35&gt;0,MIN(AY35,AY41+AY44),0)</f>
        <v>0</v>
      </c>
    </row>
    <row r="46" spans="1:51" s="171" customFormat="1" ht="13" x14ac:dyDescent="0.3">
      <c r="A46" s="171" t="s">
        <v>90</v>
      </c>
      <c r="B46" s="171" t="s">
        <v>108</v>
      </c>
      <c r="C46" s="223"/>
      <c r="D46" s="236">
        <f t="shared" ref="D46:O46" si="16">D41+D44+D45</f>
        <v>550.45814252008904</v>
      </c>
      <c r="E46" s="236">
        <f t="shared" si="16"/>
        <v>5658.6566306299628</v>
      </c>
      <c r="F46" s="236">
        <f t="shared" si="16"/>
        <v>14426.902879055626</v>
      </c>
      <c r="G46" s="236">
        <f t="shared" si="16"/>
        <v>26867.382857557885</v>
      </c>
      <c r="H46" s="236">
        <f t="shared" si="16"/>
        <v>30000</v>
      </c>
      <c r="I46" s="236">
        <f t="shared" si="16"/>
        <v>30000</v>
      </c>
      <c r="J46" s="236">
        <f t="shared" si="16"/>
        <v>7829.8751368921367</v>
      </c>
      <c r="K46" s="236">
        <f t="shared" si="16"/>
        <v>2557.2432784459388</v>
      </c>
      <c r="L46" s="236">
        <f t="shared" si="16"/>
        <v>0</v>
      </c>
      <c r="M46" s="236">
        <f t="shared" si="16"/>
        <v>0</v>
      </c>
      <c r="N46" s="236">
        <f t="shared" si="16"/>
        <v>0</v>
      </c>
      <c r="O46" s="236">
        <f t="shared" si="16"/>
        <v>0</v>
      </c>
      <c r="P46" s="236">
        <f t="shared" ref="P46:AY46" si="17">P41+P44+P45</f>
        <v>0</v>
      </c>
      <c r="Q46" s="236">
        <f t="shared" si="17"/>
        <v>0</v>
      </c>
      <c r="R46" s="236">
        <f t="shared" si="17"/>
        <v>0</v>
      </c>
      <c r="S46" s="236">
        <f t="shared" si="17"/>
        <v>0</v>
      </c>
      <c r="T46" s="236">
        <f t="shared" si="17"/>
        <v>0</v>
      </c>
      <c r="U46" s="236">
        <f t="shared" si="17"/>
        <v>0</v>
      </c>
      <c r="V46" s="236">
        <f t="shared" si="17"/>
        <v>0</v>
      </c>
      <c r="W46" s="236">
        <f t="shared" si="17"/>
        <v>0</v>
      </c>
      <c r="X46" s="236">
        <f t="shared" si="17"/>
        <v>0</v>
      </c>
      <c r="Y46" s="236">
        <f t="shared" si="17"/>
        <v>0</v>
      </c>
      <c r="Z46" s="236">
        <f t="shared" si="17"/>
        <v>0</v>
      </c>
      <c r="AA46" s="236">
        <f t="shared" si="17"/>
        <v>0</v>
      </c>
      <c r="AB46" s="236">
        <f t="shared" si="17"/>
        <v>0</v>
      </c>
      <c r="AC46" s="236">
        <f t="shared" si="17"/>
        <v>0</v>
      </c>
      <c r="AD46" s="236">
        <f t="shared" si="17"/>
        <v>0</v>
      </c>
      <c r="AE46" s="236">
        <f t="shared" si="17"/>
        <v>0</v>
      </c>
      <c r="AF46" s="236">
        <f t="shared" si="17"/>
        <v>0</v>
      </c>
      <c r="AG46" s="236">
        <f t="shared" si="17"/>
        <v>0</v>
      </c>
      <c r="AH46" s="236">
        <f t="shared" si="17"/>
        <v>0</v>
      </c>
      <c r="AI46" s="236">
        <f t="shared" si="17"/>
        <v>0</v>
      </c>
      <c r="AJ46" s="236">
        <f t="shared" si="17"/>
        <v>0</v>
      </c>
      <c r="AK46" s="236">
        <f t="shared" si="17"/>
        <v>0</v>
      </c>
      <c r="AL46" s="236">
        <f t="shared" si="17"/>
        <v>0</v>
      </c>
      <c r="AM46" s="236">
        <f t="shared" si="17"/>
        <v>0</v>
      </c>
      <c r="AN46" s="236">
        <f t="shared" si="17"/>
        <v>0</v>
      </c>
      <c r="AO46" s="236">
        <f t="shared" si="17"/>
        <v>0</v>
      </c>
      <c r="AP46" s="236">
        <f t="shared" si="17"/>
        <v>0</v>
      </c>
      <c r="AQ46" s="236">
        <f t="shared" si="17"/>
        <v>0</v>
      </c>
      <c r="AR46" s="236">
        <f t="shared" si="17"/>
        <v>0</v>
      </c>
      <c r="AS46" s="236">
        <f t="shared" si="17"/>
        <v>0</v>
      </c>
      <c r="AT46" s="236">
        <f t="shared" si="17"/>
        <v>0</v>
      </c>
      <c r="AU46" s="236">
        <f t="shared" si="17"/>
        <v>0</v>
      </c>
      <c r="AV46" s="236">
        <f t="shared" si="17"/>
        <v>0</v>
      </c>
      <c r="AW46" s="236">
        <f t="shared" si="17"/>
        <v>0</v>
      </c>
      <c r="AX46" s="236">
        <f t="shared" si="17"/>
        <v>0</v>
      </c>
      <c r="AY46" s="236">
        <f t="shared" si="17"/>
        <v>0</v>
      </c>
    </row>
    <row r="47" spans="1:51" s="189" customFormat="1" ht="29" customHeight="1" x14ac:dyDescent="0.35">
      <c r="A47" s="218" t="s">
        <v>209</v>
      </c>
      <c r="B47" s="219"/>
      <c r="C47" s="220"/>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row>
    <row r="48" spans="1:51" s="237" customFormat="1" ht="13" x14ac:dyDescent="0.3">
      <c r="A48" s="240" t="s">
        <v>210</v>
      </c>
      <c r="C48" s="238"/>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row>
    <row r="49" spans="1:51" s="237" customFormat="1" ht="13" x14ac:dyDescent="0.3">
      <c r="A49" s="229" t="s">
        <v>200</v>
      </c>
      <c r="C49" s="238"/>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row>
    <row r="50" spans="1:51" s="184" customFormat="1" x14ac:dyDescent="0.35">
      <c r="A50" s="183" t="s">
        <v>89</v>
      </c>
      <c r="B50" s="222" t="s">
        <v>108</v>
      </c>
      <c r="C50" s="172"/>
      <c r="D50" s="241">
        <f>8%^1/12</f>
        <v>6.6666666666666671E-3</v>
      </c>
      <c r="E50" s="241">
        <f t="shared" ref="E50:O50" si="18">D50</f>
        <v>6.6666666666666671E-3</v>
      </c>
      <c r="F50" s="241">
        <f t="shared" si="18"/>
        <v>6.6666666666666671E-3</v>
      </c>
      <c r="G50" s="241">
        <f t="shared" si="18"/>
        <v>6.6666666666666671E-3</v>
      </c>
      <c r="H50" s="241">
        <f t="shared" si="18"/>
        <v>6.6666666666666671E-3</v>
      </c>
      <c r="I50" s="241">
        <f t="shared" si="18"/>
        <v>6.6666666666666671E-3</v>
      </c>
      <c r="J50" s="241">
        <f t="shared" si="18"/>
        <v>6.6666666666666671E-3</v>
      </c>
      <c r="K50" s="241">
        <f t="shared" si="18"/>
        <v>6.6666666666666671E-3</v>
      </c>
      <c r="L50" s="241">
        <f t="shared" si="18"/>
        <v>6.6666666666666671E-3</v>
      </c>
      <c r="M50" s="241">
        <f t="shared" si="18"/>
        <v>6.6666666666666671E-3</v>
      </c>
      <c r="N50" s="241">
        <f t="shared" si="18"/>
        <v>6.6666666666666671E-3</v>
      </c>
      <c r="O50" s="241">
        <f t="shared" si="18"/>
        <v>6.6666666666666671E-3</v>
      </c>
      <c r="P50" s="241">
        <f t="shared" ref="P50:AY50" si="19">O50</f>
        <v>6.6666666666666671E-3</v>
      </c>
      <c r="Q50" s="241">
        <f t="shared" si="19"/>
        <v>6.6666666666666671E-3</v>
      </c>
      <c r="R50" s="241">
        <f t="shared" si="19"/>
        <v>6.6666666666666671E-3</v>
      </c>
      <c r="S50" s="241">
        <f t="shared" si="19"/>
        <v>6.6666666666666671E-3</v>
      </c>
      <c r="T50" s="241">
        <f t="shared" si="19"/>
        <v>6.6666666666666671E-3</v>
      </c>
      <c r="U50" s="241">
        <f t="shared" si="19"/>
        <v>6.6666666666666671E-3</v>
      </c>
      <c r="V50" s="241">
        <f t="shared" si="19"/>
        <v>6.6666666666666671E-3</v>
      </c>
      <c r="W50" s="241">
        <f t="shared" si="19"/>
        <v>6.6666666666666671E-3</v>
      </c>
      <c r="X50" s="241">
        <f t="shared" si="19"/>
        <v>6.6666666666666671E-3</v>
      </c>
      <c r="Y50" s="241">
        <f t="shared" si="19"/>
        <v>6.6666666666666671E-3</v>
      </c>
      <c r="Z50" s="241">
        <f t="shared" si="19"/>
        <v>6.6666666666666671E-3</v>
      </c>
      <c r="AA50" s="241">
        <f t="shared" si="19"/>
        <v>6.6666666666666671E-3</v>
      </c>
      <c r="AB50" s="241">
        <f t="shared" si="19"/>
        <v>6.6666666666666671E-3</v>
      </c>
      <c r="AC50" s="241">
        <f t="shared" si="19"/>
        <v>6.6666666666666671E-3</v>
      </c>
      <c r="AD50" s="241">
        <f t="shared" si="19"/>
        <v>6.6666666666666671E-3</v>
      </c>
      <c r="AE50" s="241">
        <f t="shared" si="19"/>
        <v>6.6666666666666671E-3</v>
      </c>
      <c r="AF50" s="241">
        <f t="shared" si="19"/>
        <v>6.6666666666666671E-3</v>
      </c>
      <c r="AG50" s="241">
        <f t="shared" si="19"/>
        <v>6.6666666666666671E-3</v>
      </c>
      <c r="AH50" s="241">
        <f t="shared" si="19"/>
        <v>6.6666666666666671E-3</v>
      </c>
      <c r="AI50" s="241">
        <f t="shared" si="19"/>
        <v>6.6666666666666671E-3</v>
      </c>
      <c r="AJ50" s="241">
        <f t="shared" si="19"/>
        <v>6.6666666666666671E-3</v>
      </c>
      <c r="AK50" s="241">
        <f t="shared" si="19"/>
        <v>6.6666666666666671E-3</v>
      </c>
      <c r="AL50" s="241">
        <f t="shared" si="19"/>
        <v>6.6666666666666671E-3</v>
      </c>
      <c r="AM50" s="241">
        <f t="shared" si="19"/>
        <v>6.6666666666666671E-3</v>
      </c>
      <c r="AN50" s="241">
        <f t="shared" si="19"/>
        <v>6.6666666666666671E-3</v>
      </c>
      <c r="AO50" s="241">
        <f t="shared" si="19"/>
        <v>6.6666666666666671E-3</v>
      </c>
      <c r="AP50" s="241">
        <f t="shared" si="19"/>
        <v>6.6666666666666671E-3</v>
      </c>
      <c r="AQ50" s="241">
        <f t="shared" si="19"/>
        <v>6.6666666666666671E-3</v>
      </c>
      <c r="AR50" s="241">
        <f t="shared" si="19"/>
        <v>6.6666666666666671E-3</v>
      </c>
      <c r="AS50" s="241">
        <f t="shared" si="19"/>
        <v>6.6666666666666671E-3</v>
      </c>
      <c r="AT50" s="241">
        <f t="shared" si="19"/>
        <v>6.6666666666666671E-3</v>
      </c>
      <c r="AU50" s="241">
        <f t="shared" si="19"/>
        <v>6.6666666666666671E-3</v>
      </c>
      <c r="AV50" s="241">
        <f t="shared" si="19"/>
        <v>6.6666666666666671E-3</v>
      </c>
      <c r="AW50" s="241">
        <f t="shared" si="19"/>
        <v>6.6666666666666671E-3</v>
      </c>
      <c r="AX50" s="241">
        <f t="shared" si="19"/>
        <v>6.6666666666666671E-3</v>
      </c>
      <c r="AY50" s="241">
        <f t="shared" si="19"/>
        <v>6.6666666666666671E-3</v>
      </c>
    </row>
    <row r="51" spans="1:51" s="187" customFormat="1" x14ac:dyDescent="0.35">
      <c r="A51" s="187" t="s">
        <v>88</v>
      </c>
      <c r="B51" s="185" t="s">
        <v>108</v>
      </c>
      <c r="C51" s="208">
        <f>SUM(D51:AY51)</f>
        <v>1178.9051892510163</v>
      </c>
      <c r="D51" s="186">
        <f>(D41+D46/2)*D50</f>
        <v>1.8348604750669635</v>
      </c>
      <c r="E51" s="186">
        <f>(E41+E46/2)*E50</f>
        <v>22.531909718900472</v>
      </c>
      <c r="F51" s="186">
        <f>(F41+F46/2)*F50</f>
        <v>85.814053801051841</v>
      </c>
      <c r="G51" s="186">
        <f>(G41+G46/2)*G50</f>
        <v>185.73729538556378</v>
      </c>
      <c r="H51" s="186">
        <f>(H41+H46/2)*H50</f>
        <v>279.11588571705255</v>
      </c>
      <c r="I51" s="186">
        <f>(I41+I46/2)*I50</f>
        <v>300</v>
      </c>
      <c r="J51" s="186">
        <f>(J41+J46/2)*J50</f>
        <v>226.09958378964046</v>
      </c>
      <c r="K51" s="186">
        <f>(K41+K46/2)*K50</f>
        <v>60.723311840767373</v>
      </c>
      <c r="L51" s="186">
        <f>(L41+L46/2)*L50</f>
        <v>17.048288522972925</v>
      </c>
      <c r="M51" s="186">
        <f>(M41+M46/2)*M50</f>
        <v>0</v>
      </c>
      <c r="N51" s="186">
        <f>(N41+N46/2)*N50</f>
        <v>0</v>
      </c>
      <c r="O51" s="186">
        <f>(O41+O46/2)*O50</f>
        <v>0</v>
      </c>
      <c r="P51" s="186">
        <f>(P41+P46/2)*P50</f>
        <v>0</v>
      </c>
      <c r="Q51" s="186">
        <f>(Q41+Q46/2)*Q50</f>
        <v>0</v>
      </c>
      <c r="R51" s="186">
        <f>(R41+R46/2)*R50</f>
        <v>0</v>
      </c>
      <c r="S51" s="186">
        <f>(S41+S46/2)*S50</f>
        <v>0</v>
      </c>
      <c r="T51" s="186">
        <f>(T41+T46/2)*T50</f>
        <v>0</v>
      </c>
      <c r="U51" s="186">
        <f>(U41+U46/2)*U50</f>
        <v>0</v>
      </c>
      <c r="V51" s="186">
        <f>(V41+V46/2)*V50</f>
        <v>0</v>
      </c>
      <c r="W51" s="186">
        <f>(W41+W46/2)*W50</f>
        <v>0</v>
      </c>
      <c r="X51" s="186">
        <f>(X41+X46/2)*X50</f>
        <v>0</v>
      </c>
      <c r="Y51" s="186">
        <f>(Y41+Y46/2)*Y50</f>
        <v>0</v>
      </c>
      <c r="Z51" s="186">
        <f>(Z41+Z46/2)*Z50</f>
        <v>0</v>
      </c>
      <c r="AA51" s="186">
        <f>(AA41+AA46/2)*AA50</f>
        <v>0</v>
      </c>
      <c r="AB51" s="186">
        <f>(AB41+AB46/2)*AB50</f>
        <v>0</v>
      </c>
      <c r="AC51" s="186">
        <f>(AC41+AC46/2)*AC50</f>
        <v>0</v>
      </c>
      <c r="AD51" s="186">
        <f>(AD41+AD46/2)*AD50</f>
        <v>0</v>
      </c>
      <c r="AE51" s="186">
        <f>(AE41+AE46/2)*AE50</f>
        <v>0</v>
      </c>
      <c r="AF51" s="186">
        <f>(AF41+AF46/2)*AF50</f>
        <v>0</v>
      </c>
      <c r="AG51" s="186">
        <f>(AG41+AG46/2)*AG50</f>
        <v>0</v>
      </c>
      <c r="AH51" s="186">
        <f>(AH41+AH46/2)*AH50</f>
        <v>0</v>
      </c>
      <c r="AI51" s="186">
        <f>(AI41+AI46/2)*AI50</f>
        <v>0</v>
      </c>
      <c r="AJ51" s="186">
        <f>(AJ41+AJ46/2)*AJ50</f>
        <v>0</v>
      </c>
      <c r="AK51" s="186">
        <f>(AK41+AK46/2)*AK50</f>
        <v>0</v>
      </c>
      <c r="AL51" s="186">
        <f>(AL41+AL46/2)*AL50</f>
        <v>0</v>
      </c>
      <c r="AM51" s="186">
        <f>(AM41+AM46/2)*AM50</f>
        <v>0</v>
      </c>
      <c r="AN51" s="186">
        <f>(AN41+AN46/2)*AN50</f>
        <v>0</v>
      </c>
      <c r="AO51" s="186">
        <f>(AO41+AO46/2)*AO50</f>
        <v>0</v>
      </c>
      <c r="AP51" s="186">
        <f>(AP41+AP46/2)*AP50</f>
        <v>0</v>
      </c>
      <c r="AQ51" s="186">
        <f>(AQ41+AQ46/2)*AQ50</f>
        <v>0</v>
      </c>
      <c r="AR51" s="186">
        <f>(AR41+AR46/2)*AR50</f>
        <v>0</v>
      </c>
      <c r="AS51" s="186">
        <f>(AS41+AS46/2)*AS50</f>
        <v>0</v>
      </c>
      <c r="AT51" s="186">
        <f>(AT41+AT46/2)*AT50</f>
        <v>0</v>
      </c>
      <c r="AU51" s="186">
        <f>(AU41+AU46/2)*AU50</f>
        <v>0</v>
      </c>
      <c r="AV51" s="186">
        <f>(AV41+AV46/2)*AV50</f>
        <v>0</v>
      </c>
      <c r="AW51" s="186">
        <f>(AW41+AW46/2)*AW50</f>
        <v>0</v>
      </c>
      <c r="AX51" s="186">
        <f>(AX41+AX46/2)*AX50</f>
        <v>0</v>
      </c>
      <c r="AY51" s="186">
        <f>(AY41+AY46/2)*AY50</f>
        <v>0</v>
      </c>
    </row>
    <row r="52" spans="1:51" s="174" customFormat="1" ht="15" customHeight="1" x14ac:dyDescent="0.35">
      <c r="B52" s="171"/>
      <c r="C52" s="172"/>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c r="AQ52" s="173"/>
      <c r="AR52" s="173"/>
      <c r="AS52" s="173"/>
      <c r="AT52" s="173"/>
      <c r="AU52" s="173"/>
      <c r="AV52" s="173"/>
      <c r="AW52" s="173"/>
      <c r="AX52" s="173"/>
      <c r="AY52" s="173"/>
    </row>
    <row r="53" spans="1:51" s="189" customFormat="1" ht="29" customHeight="1" x14ac:dyDescent="0.35">
      <c r="A53" s="218" t="s">
        <v>211</v>
      </c>
      <c r="B53" s="219"/>
      <c r="C53" s="220"/>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row>
    <row r="54" spans="1:51" s="171" customFormat="1" ht="13.5" thickBot="1" x14ac:dyDescent="0.35">
      <c r="A54" s="229" t="s">
        <v>201</v>
      </c>
      <c r="C54" s="22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213"/>
      <c r="AR54" s="213"/>
      <c r="AS54" s="213"/>
      <c r="AT54" s="213"/>
      <c r="AU54" s="213"/>
      <c r="AV54" s="213"/>
      <c r="AW54" s="213"/>
      <c r="AX54" s="213"/>
      <c r="AY54" s="213"/>
    </row>
    <row r="55" spans="1:51" s="191" customFormat="1" ht="13.5" thickBot="1" x14ac:dyDescent="0.35">
      <c r="A55" s="191" t="s">
        <v>87</v>
      </c>
      <c r="B55" s="191" t="s">
        <v>108</v>
      </c>
      <c r="C55" s="242"/>
      <c r="D55" s="235">
        <v>0</v>
      </c>
      <c r="E55" s="236">
        <f t="shared" ref="E55:O55" si="20">D61</f>
        <v>552.29300299515603</v>
      </c>
      <c r="F55" s="236">
        <f t="shared" si="20"/>
        <v>5683.0234008239304</v>
      </c>
      <c r="G55" s="236">
        <f t="shared" si="20"/>
        <v>14537.083703050645</v>
      </c>
      <c r="H55" s="236">
        <f t="shared" si="20"/>
        <v>27163.300976938466</v>
      </c>
      <c r="I55" s="236">
        <f t="shared" si="20"/>
        <v>36409.221875073737</v>
      </c>
      <c r="J55" s="236">
        <f t="shared" si="20"/>
        <v>59379.54859591728</v>
      </c>
      <c r="K55" s="236">
        <f t="shared" si="20"/>
        <v>59379.54859591728</v>
      </c>
      <c r="L55" s="236">
        <f t="shared" si="20"/>
        <v>59379.54859591728</v>
      </c>
      <c r="M55" s="236">
        <f t="shared" si="20"/>
        <v>59379.54859591728</v>
      </c>
      <c r="N55" s="236">
        <f t="shared" si="20"/>
        <v>59379.54859591728</v>
      </c>
      <c r="O55" s="236">
        <f t="shared" si="20"/>
        <v>59379.54859591728</v>
      </c>
      <c r="P55" s="236">
        <f t="shared" ref="P55:AY55" si="21">O61</f>
        <v>59379.54859591728</v>
      </c>
      <c r="Q55" s="236">
        <f t="shared" si="21"/>
        <v>59379.54859591728</v>
      </c>
      <c r="R55" s="236">
        <f t="shared" si="21"/>
        <v>59379.54859591728</v>
      </c>
      <c r="S55" s="236">
        <f t="shared" si="21"/>
        <v>59379.54859591728</v>
      </c>
      <c r="T55" s="236">
        <f t="shared" si="21"/>
        <v>59379.54859591728</v>
      </c>
      <c r="U55" s="236">
        <f t="shared" si="21"/>
        <v>59379.54859591728</v>
      </c>
      <c r="V55" s="236">
        <f t="shared" si="21"/>
        <v>59379.54859591728</v>
      </c>
      <c r="W55" s="236">
        <f t="shared" si="21"/>
        <v>59379.54859591728</v>
      </c>
      <c r="X55" s="236">
        <f t="shared" si="21"/>
        <v>59379.54859591728</v>
      </c>
      <c r="Y55" s="236">
        <f t="shared" si="21"/>
        <v>59379.54859591728</v>
      </c>
      <c r="Z55" s="236">
        <f t="shared" si="21"/>
        <v>59379.54859591728</v>
      </c>
      <c r="AA55" s="236">
        <f t="shared" si="21"/>
        <v>59379.54859591728</v>
      </c>
      <c r="AB55" s="236">
        <f t="shared" si="21"/>
        <v>59379.54859591728</v>
      </c>
      <c r="AC55" s="236">
        <f t="shared" si="21"/>
        <v>59379.54859591728</v>
      </c>
      <c r="AD55" s="236">
        <f t="shared" si="21"/>
        <v>59379.54859591728</v>
      </c>
      <c r="AE55" s="236">
        <f t="shared" si="21"/>
        <v>59379.54859591728</v>
      </c>
      <c r="AF55" s="236">
        <f t="shared" si="21"/>
        <v>59379.54859591728</v>
      </c>
      <c r="AG55" s="236">
        <f t="shared" si="21"/>
        <v>59379.54859591728</v>
      </c>
      <c r="AH55" s="236">
        <f t="shared" si="21"/>
        <v>59379.54859591728</v>
      </c>
      <c r="AI55" s="236">
        <f t="shared" si="21"/>
        <v>59379.54859591728</v>
      </c>
      <c r="AJ55" s="236">
        <f t="shared" si="21"/>
        <v>59379.54859591728</v>
      </c>
      <c r="AK55" s="236">
        <f t="shared" si="21"/>
        <v>59379.54859591728</v>
      </c>
      <c r="AL55" s="236">
        <f t="shared" si="21"/>
        <v>59379.54859591728</v>
      </c>
      <c r="AM55" s="236">
        <f t="shared" si="21"/>
        <v>59379.54859591728</v>
      </c>
      <c r="AN55" s="236">
        <f t="shared" si="21"/>
        <v>59379.54859591728</v>
      </c>
      <c r="AO55" s="236">
        <f t="shared" si="21"/>
        <v>59379.54859591728</v>
      </c>
      <c r="AP55" s="236">
        <f t="shared" si="21"/>
        <v>59379.54859591728</v>
      </c>
      <c r="AQ55" s="236">
        <f t="shared" si="21"/>
        <v>59379.54859591728</v>
      </c>
      <c r="AR55" s="236">
        <f t="shared" si="21"/>
        <v>59379.54859591728</v>
      </c>
      <c r="AS55" s="236">
        <f t="shared" si="21"/>
        <v>59379.54859591728</v>
      </c>
      <c r="AT55" s="236">
        <f t="shared" si="21"/>
        <v>59379.54859591728</v>
      </c>
      <c r="AU55" s="236">
        <f t="shared" si="21"/>
        <v>59379.54859591728</v>
      </c>
      <c r="AV55" s="236">
        <f t="shared" si="21"/>
        <v>59379.54859591728</v>
      </c>
      <c r="AW55" s="236">
        <f t="shared" si="21"/>
        <v>59379.54859591728</v>
      </c>
      <c r="AX55" s="236">
        <f t="shared" si="21"/>
        <v>59379.54859591728</v>
      </c>
      <c r="AY55" s="236">
        <f t="shared" si="21"/>
        <v>59379.54859591728</v>
      </c>
    </row>
    <row r="56" spans="1:51" s="191" customFormat="1" ht="13" x14ac:dyDescent="0.3">
      <c r="A56" s="192" t="str">
        <f>A27</f>
        <v>Net Cash Flow before project funding - Nominal</v>
      </c>
      <c r="B56" s="192" t="str">
        <f>B27</f>
        <v>$  Nominal</v>
      </c>
      <c r="C56" s="242">
        <f>SUM(D56:AY56)</f>
        <v>164440.51104118413</v>
      </c>
      <c r="D56" s="243">
        <f>D27</f>
        <v>-1100.9162850401781</v>
      </c>
      <c r="E56" s="243">
        <f>E27</f>
        <v>-10216.396976219748</v>
      </c>
      <c r="F56" s="243">
        <f>F27</f>
        <v>-17536.492496851326</v>
      </c>
      <c r="G56" s="243">
        <f>G27</f>
        <v>-24880.959957004517</v>
      </c>
      <c r="H56" s="243">
        <f>H27</f>
        <v>-12099.422154860335</v>
      </c>
      <c r="I56" s="243">
        <f>I27</f>
        <v>-22670.326720843546</v>
      </c>
      <c r="J56" s="243">
        <f>J27</f>
        <v>7170.1248631078624</v>
      </c>
      <c r="K56" s="243">
        <f>K27</f>
        <v>5272.6318584461978</v>
      </c>
      <c r="L56" s="243">
        <f>L27</f>
        <v>5297.1800233151753</v>
      </c>
      <c r="M56" s="243">
        <f>M27</f>
        <v>5321.8217786597452</v>
      </c>
      <c r="N56" s="243">
        <f>N27</f>
        <v>5346.5543530434434</v>
      </c>
      <c r="O56" s="243">
        <f>O27</f>
        <v>5371.3749640430078</v>
      </c>
      <c r="P56" s="243">
        <f>P27</f>
        <v>5396.2808173549229</v>
      </c>
      <c r="Q56" s="243">
        <f>Q27</f>
        <v>5421.2691059038934</v>
      </c>
      <c r="R56" s="243">
        <f>R27</f>
        <v>5446.3370089529499</v>
      </c>
      <c r="S56" s="243">
        <f>S27</f>
        <v>5471.4816912150109</v>
      </c>
      <c r="T56" s="243">
        <f>T27</f>
        <v>5496.7003019656649</v>
      </c>
      <c r="U56" s="243">
        <f>U27</f>
        <v>5521.9899741569207</v>
      </c>
      <c r="V56" s="243">
        <f>V27</f>
        <v>5547.3478235317361</v>
      </c>
      <c r="W56" s="243">
        <f>W27</f>
        <v>5572.7709477391036</v>
      </c>
      <c r="X56" s="243">
        <f>X27</f>
        <v>5598.2564254494328</v>
      </c>
      <c r="Y56" s="243">
        <f>Y27</f>
        <v>5623.8013154700593</v>
      </c>
      <c r="Z56" s="243">
        <f>Z27</f>
        <v>5649.4026558606583</v>
      </c>
      <c r="AA56" s="243">
        <f>AA27</f>
        <v>5675.0574630483179</v>
      </c>
      <c r="AB56" s="243">
        <f>AB27</f>
        <v>5700.7627309420823</v>
      </c>
      <c r="AC56" s="243">
        <f>AC27</f>
        <v>5726.5154300467511</v>
      </c>
      <c r="AD56" s="243">
        <f>AD27</f>
        <v>5752.3125065757313</v>
      </c>
      <c r="AE56" s="243">
        <f>AE27</f>
        <v>5778.1508815627221</v>
      </c>
      <c r="AF56" s="243">
        <f>AF27</f>
        <v>5804.0274499720208</v>
      </c>
      <c r="AG56" s="243">
        <f>AG27</f>
        <v>5829.9390798072582</v>
      </c>
      <c r="AH56" s="243">
        <f>AH27</f>
        <v>5855.8826112183533</v>
      </c>
      <c r="AI56" s="243">
        <f>AI27</f>
        <v>5881.8548556064852</v>
      </c>
      <c r="AJ56" s="243">
        <f>AJ27</f>
        <v>5907.8525947268472</v>
      </c>
      <c r="AK56" s="243">
        <f>AK27</f>
        <v>5933.8725797890675</v>
      </c>
      <c r="AL56" s="243">
        <f>AL27</f>
        <v>5959.911530554964</v>
      </c>
      <c r="AM56" s="243">
        <f>AM27</f>
        <v>5985.9661344335791</v>
      </c>
      <c r="AN56" s="243">
        <f>AN27</f>
        <v>6012.0330455731664</v>
      </c>
      <c r="AO56" s="243">
        <f>AO27</f>
        <v>6038.1088839500189</v>
      </c>
      <c r="AP56" s="243">
        <f>AP27</f>
        <v>6064.190234453883</v>
      </c>
      <c r="AQ56" s="243">
        <f>AQ27</f>
        <v>6090.2736459698226</v>
      </c>
      <c r="AR56" s="243">
        <f>AR27</f>
        <v>6116.3556304562653</v>
      </c>
      <c r="AS56" s="243">
        <f>AS27</f>
        <v>6142.4326620190805</v>
      </c>
      <c r="AT56" s="243">
        <f>AT27</f>
        <v>6168.5011759814952</v>
      </c>
      <c r="AU56" s="243">
        <f>AU27</f>
        <v>6194.5575679496224</v>
      </c>
      <c r="AV56" s="243">
        <f>AV27</f>
        <v>6234.5300013769083</v>
      </c>
      <c r="AW56" s="243">
        <f>AW27</f>
        <v>6243.2860302811478</v>
      </c>
      <c r="AX56" s="243">
        <f>AX27</f>
        <v>7253.3015907014433</v>
      </c>
      <c r="AY56" s="243">
        <f>AY27</f>
        <v>14070.023406790951</v>
      </c>
    </row>
    <row r="57" spans="1:51" s="191" customFormat="1" ht="13" x14ac:dyDescent="0.3">
      <c r="A57" s="192" t="str">
        <f>A51</f>
        <v xml:space="preserve">Interest - paid </v>
      </c>
      <c r="B57" s="192" t="str">
        <f>B51</f>
        <v>$ Nominal</v>
      </c>
      <c r="C57" s="242">
        <f>SUM(D57:AY57)</f>
        <v>-1178.9051892510163</v>
      </c>
      <c r="D57" s="243">
        <f t="shared" ref="D57:O57" si="22">-D51</f>
        <v>-1.8348604750669635</v>
      </c>
      <c r="E57" s="243">
        <f t="shared" si="22"/>
        <v>-22.531909718900472</v>
      </c>
      <c r="F57" s="243">
        <f t="shared" si="22"/>
        <v>-85.814053801051841</v>
      </c>
      <c r="G57" s="243">
        <f t="shared" si="22"/>
        <v>-185.73729538556378</v>
      </c>
      <c r="H57" s="243">
        <f t="shared" si="22"/>
        <v>-279.11588571705255</v>
      </c>
      <c r="I57" s="243">
        <f t="shared" si="22"/>
        <v>-300</v>
      </c>
      <c r="J57" s="243">
        <f t="shared" si="22"/>
        <v>-226.09958378964046</v>
      </c>
      <c r="K57" s="243">
        <f t="shared" si="22"/>
        <v>-60.723311840767373</v>
      </c>
      <c r="L57" s="243">
        <f t="shared" si="22"/>
        <v>-17.048288522972925</v>
      </c>
      <c r="M57" s="243">
        <f t="shared" si="22"/>
        <v>0</v>
      </c>
      <c r="N57" s="243">
        <f t="shared" si="22"/>
        <v>0</v>
      </c>
      <c r="O57" s="243">
        <f t="shared" si="22"/>
        <v>0</v>
      </c>
      <c r="P57" s="243">
        <f t="shared" ref="P57:AY57" si="23">-P51</f>
        <v>0</v>
      </c>
      <c r="Q57" s="243">
        <f t="shared" si="23"/>
        <v>0</v>
      </c>
      <c r="R57" s="243">
        <f t="shared" si="23"/>
        <v>0</v>
      </c>
      <c r="S57" s="243">
        <f t="shared" si="23"/>
        <v>0</v>
      </c>
      <c r="T57" s="243">
        <f t="shared" si="23"/>
        <v>0</v>
      </c>
      <c r="U57" s="243">
        <f t="shared" si="23"/>
        <v>0</v>
      </c>
      <c r="V57" s="243">
        <f t="shared" si="23"/>
        <v>0</v>
      </c>
      <c r="W57" s="243">
        <f t="shared" si="23"/>
        <v>0</v>
      </c>
      <c r="X57" s="243">
        <f t="shared" si="23"/>
        <v>0</v>
      </c>
      <c r="Y57" s="243">
        <f t="shared" si="23"/>
        <v>0</v>
      </c>
      <c r="Z57" s="243">
        <f t="shared" si="23"/>
        <v>0</v>
      </c>
      <c r="AA57" s="243">
        <f t="shared" si="23"/>
        <v>0</v>
      </c>
      <c r="AB57" s="243">
        <f t="shared" si="23"/>
        <v>0</v>
      </c>
      <c r="AC57" s="243">
        <f t="shared" si="23"/>
        <v>0</v>
      </c>
      <c r="AD57" s="243">
        <f t="shared" si="23"/>
        <v>0</v>
      </c>
      <c r="AE57" s="243">
        <f t="shared" si="23"/>
        <v>0</v>
      </c>
      <c r="AF57" s="243">
        <f t="shared" si="23"/>
        <v>0</v>
      </c>
      <c r="AG57" s="243">
        <f t="shared" si="23"/>
        <v>0</v>
      </c>
      <c r="AH57" s="243">
        <f t="shared" si="23"/>
        <v>0</v>
      </c>
      <c r="AI57" s="243">
        <f t="shared" si="23"/>
        <v>0</v>
      </c>
      <c r="AJ57" s="243">
        <f t="shared" si="23"/>
        <v>0</v>
      </c>
      <c r="AK57" s="243">
        <f t="shared" si="23"/>
        <v>0</v>
      </c>
      <c r="AL57" s="243">
        <f t="shared" si="23"/>
        <v>0</v>
      </c>
      <c r="AM57" s="243">
        <f t="shared" si="23"/>
        <v>0</v>
      </c>
      <c r="AN57" s="243">
        <f t="shared" si="23"/>
        <v>0</v>
      </c>
      <c r="AO57" s="243">
        <f t="shared" si="23"/>
        <v>0</v>
      </c>
      <c r="AP57" s="243">
        <f t="shared" si="23"/>
        <v>0</v>
      </c>
      <c r="AQ57" s="243">
        <f t="shared" si="23"/>
        <v>0</v>
      </c>
      <c r="AR57" s="243">
        <f t="shared" si="23"/>
        <v>0</v>
      </c>
      <c r="AS57" s="243">
        <f t="shared" si="23"/>
        <v>0</v>
      </c>
      <c r="AT57" s="243">
        <f t="shared" si="23"/>
        <v>0</v>
      </c>
      <c r="AU57" s="243">
        <f t="shared" si="23"/>
        <v>0</v>
      </c>
      <c r="AV57" s="243">
        <f t="shared" si="23"/>
        <v>0</v>
      </c>
      <c r="AW57" s="243">
        <f t="shared" si="23"/>
        <v>0</v>
      </c>
      <c r="AX57" s="243">
        <f t="shared" si="23"/>
        <v>0</v>
      </c>
      <c r="AY57" s="243">
        <f t="shared" si="23"/>
        <v>0</v>
      </c>
    </row>
    <row r="58" spans="1:51" s="191" customFormat="1" ht="13" x14ac:dyDescent="0.3">
      <c r="A58" s="192" t="str">
        <f>A34</f>
        <v>a. Donations</v>
      </c>
      <c r="B58" s="192" t="str">
        <f>B34</f>
        <v>$ Nominal</v>
      </c>
      <c r="C58" s="242">
        <f>SUM(D58:AY58)</f>
        <v>15000</v>
      </c>
      <c r="D58" s="243">
        <f>D34</f>
        <v>0</v>
      </c>
      <c r="E58" s="243">
        <f>E34</f>
        <v>0</v>
      </c>
      <c r="F58" s="243">
        <f>F34</f>
        <v>0</v>
      </c>
      <c r="G58" s="243">
        <f>G34</f>
        <v>0</v>
      </c>
      <c r="H58" s="243">
        <f>H34</f>
        <v>0</v>
      </c>
      <c r="I58" s="243">
        <f>I34</f>
        <v>0</v>
      </c>
      <c r="J58" s="243">
        <f>J34</f>
        <v>15000</v>
      </c>
      <c r="K58" s="243">
        <f>K34</f>
        <v>0</v>
      </c>
      <c r="L58" s="243">
        <f>L34</f>
        <v>0</v>
      </c>
      <c r="M58" s="243">
        <f>M34</f>
        <v>0</v>
      </c>
      <c r="N58" s="243">
        <f>N34</f>
        <v>0</v>
      </c>
      <c r="O58" s="243">
        <f>O34</f>
        <v>0</v>
      </c>
      <c r="P58" s="243">
        <f>P34</f>
        <v>0</v>
      </c>
      <c r="Q58" s="243">
        <f>Q34</f>
        <v>0</v>
      </c>
      <c r="R58" s="243">
        <f>R34</f>
        <v>0</v>
      </c>
      <c r="S58" s="243">
        <f>S34</f>
        <v>0</v>
      </c>
      <c r="T58" s="243">
        <f>T34</f>
        <v>0</v>
      </c>
      <c r="U58" s="243">
        <f>U34</f>
        <v>0</v>
      </c>
      <c r="V58" s="243">
        <f>V34</f>
        <v>0</v>
      </c>
      <c r="W58" s="243">
        <f>W34</f>
        <v>0</v>
      </c>
      <c r="X58" s="243">
        <f>X34</f>
        <v>0</v>
      </c>
      <c r="Y58" s="243">
        <f>Y34</f>
        <v>0</v>
      </c>
      <c r="Z58" s="243">
        <f>Z34</f>
        <v>0</v>
      </c>
      <c r="AA58" s="243">
        <f>AA34</f>
        <v>0</v>
      </c>
      <c r="AB58" s="243">
        <f>AB34</f>
        <v>0</v>
      </c>
      <c r="AC58" s="243">
        <f>AC34</f>
        <v>0</v>
      </c>
      <c r="AD58" s="243">
        <f>AD34</f>
        <v>0</v>
      </c>
      <c r="AE58" s="243">
        <f>AE34</f>
        <v>0</v>
      </c>
      <c r="AF58" s="243">
        <f>AF34</f>
        <v>0</v>
      </c>
      <c r="AG58" s="243">
        <f>AG34</f>
        <v>0</v>
      </c>
      <c r="AH58" s="243">
        <f>AH34</f>
        <v>0</v>
      </c>
      <c r="AI58" s="243">
        <f>AI34</f>
        <v>0</v>
      </c>
      <c r="AJ58" s="243">
        <f>AJ34</f>
        <v>0</v>
      </c>
      <c r="AK58" s="243">
        <f>AK34</f>
        <v>0</v>
      </c>
      <c r="AL58" s="243">
        <f>AL34</f>
        <v>0</v>
      </c>
      <c r="AM58" s="243">
        <f>AM34</f>
        <v>0</v>
      </c>
      <c r="AN58" s="243">
        <f>AN34</f>
        <v>0</v>
      </c>
      <c r="AO58" s="243">
        <f>AO34</f>
        <v>0</v>
      </c>
      <c r="AP58" s="243">
        <f>AP34</f>
        <v>0</v>
      </c>
      <c r="AQ58" s="243">
        <f>AQ34</f>
        <v>0</v>
      </c>
      <c r="AR58" s="243">
        <f>AR34</f>
        <v>0</v>
      </c>
      <c r="AS58" s="243">
        <f>AS34</f>
        <v>0</v>
      </c>
      <c r="AT58" s="243">
        <f>AT34</f>
        <v>0</v>
      </c>
      <c r="AU58" s="243">
        <f>AU34</f>
        <v>0</v>
      </c>
      <c r="AV58" s="243">
        <f>AV34</f>
        <v>0</v>
      </c>
      <c r="AW58" s="243">
        <f>AW34</f>
        <v>0</v>
      </c>
      <c r="AX58" s="243">
        <f>AX34</f>
        <v>0</v>
      </c>
      <c r="AY58" s="243">
        <f>AY34</f>
        <v>0</v>
      </c>
    </row>
    <row r="59" spans="1:51" s="191" customFormat="1" ht="13" x14ac:dyDescent="0.3">
      <c r="A59" s="192" t="str">
        <f>A44</f>
        <v>loan - drawdowns</v>
      </c>
      <c r="B59" s="192" t="str">
        <f>B44</f>
        <v>$ Nominal</v>
      </c>
      <c r="C59" s="242">
        <f>SUM(D59:AY59)</f>
        <v>30000</v>
      </c>
      <c r="D59" s="243">
        <f>D44</f>
        <v>550.45814252008904</v>
      </c>
      <c r="E59" s="243">
        <f>E44</f>
        <v>5108.1984881098742</v>
      </c>
      <c r="F59" s="243">
        <f>F44</f>
        <v>8768.246248425663</v>
      </c>
      <c r="G59" s="243">
        <f>G44</f>
        <v>12440.479978502259</v>
      </c>
      <c r="H59" s="243">
        <f>H44</f>
        <v>3132.6171424421154</v>
      </c>
      <c r="I59" s="243">
        <f>I44</f>
        <v>0</v>
      </c>
      <c r="J59" s="243">
        <f>J44</f>
        <v>0</v>
      </c>
      <c r="K59" s="243">
        <f>K44</f>
        <v>0</v>
      </c>
      <c r="L59" s="243">
        <f>L44</f>
        <v>0</v>
      </c>
      <c r="M59" s="243">
        <f>M44</f>
        <v>0</v>
      </c>
      <c r="N59" s="243">
        <f>N44</f>
        <v>0</v>
      </c>
      <c r="O59" s="243">
        <f>O44</f>
        <v>0</v>
      </c>
      <c r="P59" s="243">
        <f>P44</f>
        <v>0</v>
      </c>
      <c r="Q59" s="243">
        <f>Q44</f>
        <v>0</v>
      </c>
      <c r="R59" s="243">
        <f>R44</f>
        <v>0</v>
      </c>
      <c r="S59" s="243">
        <f>S44</f>
        <v>0</v>
      </c>
      <c r="T59" s="243">
        <f>T44</f>
        <v>0</v>
      </c>
      <c r="U59" s="243">
        <f>U44</f>
        <v>0</v>
      </c>
      <c r="V59" s="243">
        <f>V44</f>
        <v>0</v>
      </c>
      <c r="W59" s="243">
        <f>W44</f>
        <v>0</v>
      </c>
      <c r="X59" s="243">
        <f>X44</f>
        <v>0</v>
      </c>
      <c r="Y59" s="243">
        <f>Y44</f>
        <v>0</v>
      </c>
      <c r="Z59" s="243">
        <f>Z44</f>
        <v>0</v>
      </c>
      <c r="AA59" s="243">
        <f>AA44</f>
        <v>0</v>
      </c>
      <c r="AB59" s="243">
        <f>AB44</f>
        <v>0</v>
      </c>
      <c r="AC59" s="243">
        <f>AC44</f>
        <v>0</v>
      </c>
      <c r="AD59" s="243">
        <f>AD44</f>
        <v>0</v>
      </c>
      <c r="AE59" s="243">
        <f>AE44</f>
        <v>0</v>
      </c>
      <c r="AF59" s="243">
        <f>AF44</f>
        <v>0</v>
      </c>
      <c r="AG59" s="243">
        <f>AG44</f>
        <v>0</v>
      </c>
      <c r="AH59" s="243">
        <f>AH44</f>
        <v>0</v>
      </c>
      <c r="AI59" s="243">
        <f>AI44</f>
        <v>0</v>
      </c>
      <c r="AJ59" s="243">
        <f>AJ44</f>
        <v>0</v>
      </c>
      <c r="AK59" s="243">
        <f>AK44</f>
        <v>0</v>
      </c>
      <c r="AL59" s="243">
        <f>AL44</f>
        <v>0</v>
      </c>
      <c r="AM59" s="243">
        <f>AM44</f>
        <v>0</v>
      </c>
      <c r="AN59" s="243">
        <f>AN44</f>
        <v>0</v>
      </c>
      <c r="AO59" s="243">
        <f>AO44</f>
        <v>0</v>
      </c>
      <c r="AP59" s="243">
        <f>AP44</f>
        <v>0</v>
      </c>
      <c r="AQ59" s="243">
        <f>AQ44</f>
        <v>0</v>
      </c>
      <c r="AR59" s="243">
        <f>AR44</f>
        <v>0</v>
      </c>
      <c r="AS59" s="243">
        <f>AS44</f>
        <v>0</v>
      </c>
      <c r="AT59" s="243">
        <f>AT44</f>
        <v>0</v>
      </c>
      <c r="AU59" s="243">
        <f>AU44</f>
        <v>0</v>
      </c>
      <c r="AV59" s="243">
        <f>AV44</f>
        <v>0</v>
      </c>
      <c r="AW59" s="243">
        <f>AW44</f>
        <v>0</v>
      </c>
      <c r="AX59" s="243">
        <f>AX44</f>
        <v>0</v>
      </c>
      <c r="AY59" s="243">
        <f>AY44</f>
        <v>0</v>
      </c>
    </row>
    <row r="60" spans="1:51" s="187" customFormat="1" x14ac:dyDescent="0.35">
      <c r="A60" s="187" t="s">
        <v>86</v>
      </c>
      <c r="B60" s="185" t="s">
        <v>108</v>
      </c>
      <c r="C60" s="208">
        <f>SUM(D60:AY60)</f>
        <v>59379.54859591728</v>
      </c>
      <c r="D60" s="186">
        <f t="shared" ref="D60:O60" si="24">IF(SUM(D56:D59)&lt;0,-SUM(D56:D59),0)</f>
        <v>552.29300299515603</v>
      </c>
      <c r="E60" s="186">
        <f t="shared" si="24"/>
        <v>5130.7303978287746</v>
      </c>
      <c r="F60" s="186">
        <f t="shared" si="24"/>
        <v>8854.0603022267151</v>
      </c>
      <c r="G60" s="186">
        <f t="shared" si="24"/>
        <v>12626.217273887822</v>
      </c>
      <c r="H60" s="186">
        <f t="shared" si="24"/>
        <v>9245.9208981352713</v>
      </c>
      <c r="I60" s="186">
        <f t="shared" si="24"/>
        <v>22970.326720843546</v>
      </c>
      <c r="J60" s="186">
        <f t="shared" si="24"/>
        <v>0</v>
      </c>
      <c r="K60" s="186">
        <f t="shared" si="24"/>
        <v>0</v>
      </c>
      <c r="L60" s="186">
        <f t="shared" si="24"/>
        <v>0</v>
      </c>
      <c r="M60" s="186">
        <f t="shared" si="24"/>
        <v>0</v>
      </c>
      <c r="N60" s="186">
        <f t="shared" si="24"/>
        <v>0</v>
      </c>
      <c r="O60" s="186">
        <f t="shared" si="24"/>
        <v>0</v>
      </c>
      <c r="P60" s="186">
        <f t="shared" ref="P60:AY60" si="25">IF(SUM(P56:P59)&lt;0,-SUM(P56:P59),0)</f>
        <v>0</v>
      </c>
      <c r="Q60" s="186">
        <f t="shared" si="25"/>
        <v>0</v>
      </c>
      <c r="R60" s="186">
        <f t="shared" si="25"/>
        <v>0</v>
      </c>
      <c r="S60" s="186">
        <f t="shared" si="25"/>
        <v>0</v>
      </c>
      <c r="T60" s="186">
        <f t="shared" si="25"/>
        <v>0</v>
      </c>
      <c r="U60" s="186">
        <f t="shared" si="25"/>
        <v>0</v>
      </c>
      <c r="V60" s="186">
        <f t="shared" si="25"/>
        <v>0</v>
      </c>
      <c r="W60" s="186">
        <f t="shared" si="25"/>
        <v>0</v>
      </c>
      <c r="X60" s="186">
        <f t="shared" si="25"/>
        <v>0</v>
      </c>
      <c r="Y60" s="186">
        <f t="shared" si="25"/>
        <v>0</v>
      </c>
      <c r="Z60" s="186">
        <f t="shared" si="25"/>
        <v>0</v>
      </c>
      <c r="AA60" s="186">
        <f t="shared" si="25"/>
        <v>0</v>
      </c>
      <c r="AB60" s="186">
        <f t="shared" si="25"/>
        <v>0</v>
      </c>
      <c r="AC60" s="186">
        <f t="shared" si="25"/>
        <v>0</v>
      </c>
      <c r="AD60" s="186">
        <f t="shared" si="25"/>
        <v>0</v>
      </c>
      <c r="AE60" s="186">
        <f t="shared" si="25"/>
        <v>0</v>
      </c>
      <c r="AF60" s="186">
        <f t="shared" si="25"/>
        <v>0</v>
      </c>
      <c r="AG60" s="186">
        <f t="shared" si="25"/>
        <v>0</v>
      </c>
      <c r="AH60" s="186">
        <f t="shared" si="25"/>
        <v>0</v>
      </c>
      <c r="AI60" s="186">
        <f t="shared" si="25"/>
        <v>0</v>
      </c>
      <c r="AJ60" s="186">
        <f t="shared" si="25"/>
        <v>0</v>
      </c>
      <c r="AK60" s="186">
        <f t="shared" si="25"/>
        <v>0</v>
      </c>
      <c r="AL60" s="186">
        <f t="shared" si="25"/>
        <v>0</v>
      </c>
      <c r="AM60" s="186">
        <f t="shared" si="25"/>
        <v>0</v>
      </c>
      <c r="AN60" s="186">
        <f t="shared" si="25"/>
        <v>0</v>
      </c>
      <c r="AO60" s="186">
        <f t="shared" si="25"/>
        <v>0</v>
      </c>
      <c r="AP60" s="186">
        <f t="shared" si="25"/>
        <v>0</v>
      </c>
      <c r="AQ60" s="186">
        <f t="shared" si="25"/>
        <v>0</v>
      </c>
      <c r="AR60" s="186">
        <f t="shared" si="25"/>
        <v>0</v>
      </c>
      <c r="AS60" s="186">
        <f t="shared" si="25"/>
        <v>0</v>
      </c>
      <c r="AT60" s="186">
        <f t="shared" si="25"/>
        <v>0</v>
      </c>
      <c r="AU60" s="186">
        <f t="shared" si="25"/>
        <v>0</v>
      </c>
      <c r="AV60" s="186">
        <f t="shared" si="25"/>
        <v>0</v>
      </c>
      <c r="AW60" s="186">
        <f t="shared" si="25"/>
        <v>0</v>
      </c>
      <c r="AX60" s="186">
        <f t="shared" si="25"/>
        <v>0</v>
      </c>
      <c r="AY60" s="186">
        <f t="shared" si="25"/>
        <v>0</v>
      </c>
    </row>
    <row r="61" spans="1:51" s="191" customFormat="1" ht="13" x14ac:dyDescent="0.3">
      <c r="A61" s="191" t="s">
        <v>85</v>
      </c>
      <c r="B61" s="191" t="s">
        <v>108</v>
      </c>
      <c r="C61" s="242"/>
      <c r="D61" s="236">
        <f t="shared" ref="D61:O61" si="26">D55+D60</f>
        <v>552.29300299515603</v>
      </c>
      <c r="E61" s="236">
        <f t="shared" si="26"/>
        <v>5683.0234008239304</v>
      </c>
      <c r="F61" s="236">
        <f t="shared" si="26"/>
        <v>14537.083703050645</v>
      </c>
      <c r="G61" s="236">
        <f t="shared" si="26"/>
        <v>27163.300976938466</v>
      </c>
      <c r="H61" s="236">
        <f t="shared" si="26"/>
        <v>36409.221875073737</v>
      </c>
      <c r="I61" s="236">
        <f t="shared" si="26"/>
        <v>59379.54859591728</v>
      </c>
      <c r="J61" s="236">
        <f t="shared" si="26"/>
        <v>59379.54859591728</v>
      </c>
      <c r="K61" s="236">
        <f t="shared" si="26"/>
        <v>59379.54859591728</v>
      </c>
      <c r="L61" s="236">
        <f t="shared" si="26"/>
        <v>59379.54859591728</v>
      </c>
      <c r="M61" s="236">
        <f t="shared" si="26"/>
        <v>59379.54859591728</v>
      </c>
      <c r="N61" s="236">
        <f t="shared" si="26"/>
        <v>59379.54859591728</v>
      </c>
      <c r="O61" s="236">
        <f t="shared" si="26"/>
        <v>59379.54859591728</v>
      </c>
      <c r="P61" s="236">
        <f t="shared" ref="P61:AY61" si="27">P55+P60</f>
        <v>59379.54859591728</v>
      </c>
      <c r="Q61" s="236">
        <f t="shared" si="27"/>
        <v>59379.54859591728</v>
      </c>
      <c r="R61" s="236">
        <f t="shared" si="27"/>
        <v>59379.54859591728</v>
      </c>
      <c r="S61" s="236">
        <f t="shared" si="27"/>
        <v>59379.54859591728</v>
      </c>
      <c r="T61" s="236">
        <f t="shared" si="27"/>
        <v>59379.54859591728</v>
      </c>
      <c r="U61" s="236">
        <f t="shared" si="27"/>
        <v>59379.54859591728</v>
      </c>
      <c r="V61" s="236">
        <f t="shared" si="27"/>
        <v>59379.54859591728</v>
      </c>
      <c r="W61" s="236">
        <f t="shared" si="27"/>
        <v>59379.54859591728</v>
      </c>
      <c r="X61" s="236">
        <f t="shared" si="27"/>
        <v>59379.54859591728</v>
      </c>
      <c r="Y61" s="236">
        <f t="shared" si="27"/>
        <v>59379.54859591728</v>
      </c>
      <c r="Z61" s="236">
        <f t="shared" si="27"/>
        <v>59379.54859591728</v>
      </c>
      <c r="AA61" s="236">
        <f t="shared" si="27"/>
        <v>59379.54859591728</v>
      </c>
      <c r="AB61" s="236">
        <f t="shared" si="27"/>
        <v>59379.54859591728</v>
      </c>
      <c r="AC61" s="236">
        <f t="shared" si="27"/>
        <v>59379.54859591728</v>
      </c>
      <c r="AD61" s="236">
        <f t="shared" si="27"/>
        <v>59379.54859591728</v>
      </c>
      <c r="AE61" s="236">
        <f t="shared" si="27"/>
        <v>59379.54859591728</v>
      </c>
      <c r="AF61" s="236">
        <f t="shared" si="27"/>
        <v>59379.54859591728</v>
      </c>
      <c r="AG61" s="236">
        <f t="shared" si="27"/>
        <v>59379.54859591728</v>
      </c>
      <c r="AH61" s="236">
        <f t="shared" si="27"/>
        <v>59379.54859591728</v>
      </c>
      <c r="AI61" s="236">
        <f t="shared" si="27"/>
        <v>59379.54859591728</v>
      </c>
      <c r="AJ61" s="236">
        <f t="shared" si="27"/>
        <v>59379.54859591728</v>
      </c>
      <c r="AK61" s="236">
        <f t="shared" si="27"/>
        <v>59379.54859591728</v>
      </c>
      <c r="AL61" s="236">
        <f t="shared" si="27"/>
        <v>59379.54859591728</v>
      </c>
      <c r="AM61" s="236">
        <f t="shared" si="27"/>
        <v>59379.54859591728</v>
      </c>
      <c r="AN61" s="236">
        <f t="shared" si="27"/>
        <v>59379.54859591728</v>
      </c>
      <c r="AO61" s="236">
        <f t="shared" si="27"/>
        <v>59379.54859591728</v>
      </c>
      <c r="AP61" s="236">
        <f t="shared" si="27"/>
        <v>59379.54859591728</v>
      </c>
      <c r="AQ61" s="236">
        <f t="shared" si="27"/>
        <v>59379.54859591728</v>
      </c>
      <c r="AR61" s="236">
        <f t="shared" si="27"/>
        <v>59379.54859591728</v>
      </c>
      <c r="AS61" s="236">
        <f t="shared" si="27"/>
        <v>59379.54859591728</v>
      </c>
      <c r="AT61" s="236">
        <f t="shared" si="27"/>
        <v>59379.54859591728</v>
      </c>
      <c r="AU61" s="236">
        <f t="shared" si="27"/>
        <v>59379.54859591728</v>
      </c>
      <c r="AV61" s="236">
        <f t="shared" si="27"/>
        <v>59379.54859591728</v>
      </c>
      <c r="AW61" s="236">
        <f t="shared" si="27"/>
        <v>59379.54859591728</v>
      </c>
      <c r="AX61" s="236">
        <f t="shared" si="27"/>
        <v>59379.54859591728</v>
      </c>
      <c r="AY61" s="236">
        <f t="shared" si="27"/>
        <v>59379.54859591728</v>
      </c>
    </row>
    <row r="62" spans="1:51" s="174" customFormat="1" ht="15" customHeight="1" x14ac:dyDescent="0.35">
      <c r="B62" s="171"/>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c r="AW62" s="173"/>
      <c r="AX62" s="173"/>
      <c r="AY62" s="173"/>
    </row>
    <row r="63" spans="1:51" s="234" customFormat="1" ht="50.5" customHeight="1" x14ac:dyDescent="0.35">
      <c r="A63" s="244" t="s">
        <v>212</v>
      </c>
      <c r="B63" s="231"/>
      <c r="C63" s="232"/>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3"/>
      <c r="AX63" s="233"/>
      <c r="AY63" s="233"/>
    </row>
    <row r="64" spans="1:51" s="189" customFormat="1" ht="29" customHeight="1" x14ac:dyDescent="0.35">
      <c r="A64" s="218" t="s">
        <v>215</v>
      </c>
      <c r="B64" s="219"/>
      <c r="C64" s="220"/>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c r="AM64" s="221"/>
      <c r="AN64" s="221"/>
      <c r="AO64" s="221"/>
      <c r="AP64" s="221"/>
      <c r="AQ64" s="221"/>
      <c r="AR64" s="221"/>
      <c r="AS64" s="221"/>
      <c r="AT64" s="221"/>
      <c r="AU64" s="221"/>
      <c r="AV64" s="221"/>
      <c r="AW64" s="221"/>
      <c r="AX64" s="221"/>
      <c r="AY64" s="221"/>
    </row>
    <row r="65" spans="1:51" s="144" customFormat="1" x14ac:dyDescent="0.35">
      <c r="A65" s="260" t="s">
        <v>214</v>
      </c>
      <c r="B65" s="139"/>
      <c r="C65" s="167"/>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Q65" s="193"/>
      <c r="AR65" s="193"/>
      <c r="AS65" s="193"/>
      <c r="AT65" s="193"/>
      <c r="AU65" s="193"/>
      <c r="AV65" s="193"/>
      <c r="AW65" s="193"/>
      <c r="AX65" s="193"/>
      <c r="AY65" s="193"/>
    </row>
    <row r="66" spans="1:51" s="245" customFormat="1" ht="13" x14ac:dyDescent="0.3">
      <c r="A66" s="240" t="s">
        <v>84</v>
      </c>
      <c r="C66" s="246"/>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247"/>
      <c r="AP66" s="247"/>
      <c r="AQ66" s="247"/>
      <c r="AR66" s="247"/>
      <c r="AS66" s="247"/>
      <c r="AT66" s="247"/>
      <c r="AU66" s="247"/>
      <c r="AV66" s="247"/>
      <c r="AW66" s="247"/>
      <c r="AX66" s="247"/>
      <c r="AY66" s="247"/>
    </row>
    <row r="67" spans="1:51" s="139" customFormat="1" ht="13" x14ac:dyDescent="0.3">
      <c r="A67" s="169" t="str">
        <f>'business model (in Real terms)'!A149</f>
        <v>Assessable Income</v>
      </c>
      <c r="B67" s="169" t="str">
        <f>'business model (in Real terms)'!B149</f>
        <v>$ Real</v>
      </c>
      <c r="C67" s="210">
        <f>'business model (in Real terms)'!C149</f>
        <v>281787.32913458842</v>
      </c>
      <c r="D67" s="210">
        <f>'business model (in Real terms)'!D149</f>
        <v>-1100</v>
      </c>
      <c r="E67" s="210">
        <f>'business model (in Real terms)'!E149</f>
        <v>-399.24242424242379</v>
      </c>
      <c r="F67" s="210">
        <f>'business model (in Real terms)'!F149</f>
        <v>-42.629419191918487</v>
      </c>
      <c r="G67" s="210">
        <f>'business model (in Real terms)'!G149</f>
        <v>155.03899673821661</v>
      </c>
      <c r="H67" s="210">
        <f>'business model (in Real terms)'!H149</f>
        <v>-1344.5924975120122</v>
      </c>
      <c r="I67" s="210">
        <f>'business model (in Real terms)'!I149</f>
        <v>-1146.3150022986933</v>
      </c>
      <c r="J67" s="210">
        <f>'business model (in Real terms)'!J149</f>
        <v>5967.8317117643464</v>
      </c>
      <c r="K67" s="210">
        <f>'business model (in Real terms)'!K149</f>
        <v>6097.4102177692548</v>
      </c>
      <c r="L67" s="210">
        <f>'business model (in Real terms)'!L149</f>
        <v>6135.7435317930031</v>
      </c>
      <c r="M67" s="210">
        <f>'business model (in Real terms)'!M149</f>
        <v>6173.7445319633935</v>
      </c>
      <c r="N67" s="210">
        <f>'business model (in Real terms)'!N149</f>
        <v>6211.4168552953679</v>
      </c>
      <c r="O67" s="210">
        <f>'business model (in Real terms)'!O149</f>
        <v>6248.7639908224764</v>
      </c>
      <c r="P67" s="210">
        <f>'business model (in Real terms)'!P149</f>
        <v>6285.7892817629536</v>
      </c>
      <c r="Q67" s="210">
        <f>'business model (in Real terms)'!Q149</f>
        <v>6322.4959276305308</v>
      </c>
      <c r="R67" s="210">
        <f>'business model (in Real terms)'!R149</f>
        <v>6358.8869862910269</v>
      </c>
      <c r="S67" s="210">
        <f>'business model (in Real terms)'!S149</f>
        <v>6394.9653759657531</v>
      </c>
      <c r="T67" s="210">
        <f>'business model (in Real terms)'!T149</f>
        <v>6430.7338771827272</v>
      </c>
      <c r="U67" s="210">
        <f>'business model (in Real terms)'!U149</f>
        <v>6466.1951346766655</v>
      </c>
      <c r="V67" s="210">
        <f>'business model (in Real terms)'!V149</f>
        <v>6501.3516592387232</v>
      </c>
      <c r="W67" s="210">
        <f>'business model (in Real terms)'!W149</f>
        <v>6536.2058295169218</v>
      </c>
      <c r="X67" s="210">
        <f>'business model (in Real terms)'!X149</f>
        <v>6570.7598937681414</v>
      </c>
      <c r="Y67" s="210">
        <f>'business model (in Real terms)'!Y149</f>
        <v>6605.0159715626332</v>
      </c>
      <c r="Z67" s="210">
        <f>'business model (in Real terms)'!Z149</f>
        <v>6638.976055441869</v>
      </c>
      <c r="AA67" s="210">
        <f>'business model (in Real terms)'!AA149</f>
        <v>6672.6420125306222</v>
      </c>
      <c r="AB67" s="210">
        <f>'business model (in Real terms)'!AB149</f>
        <v>6706.0155861040985</v>
      </c>
      <c r="AC67" s="210">
        <f>'business model (in Real terms)'!AC149</f>
        <v>6739.0983971109272</v>
      </c>
      <c r="AD67" s="210">
        <f>'business model (in Real terms)'!AD149</f>
        <v>6771.8919456528447</v>
      </c>
      <c r="AE67" s="210">
        <f>'business model (in Real terms)'!AE149</f>
        <v>6804.3976124218143</v>
      </c>
      <c r="AF67" s="210">
        <f>'business model (in Real terms)'!AF149</f>
        <v>6836.6166600953657</v>
      </c>
      <c r="AG67" s="210">
        <f>'business model (in Real terms)'!AG149</f>
        <v>6868.5502346908943</v>
      </c>
      <c r="AH67" s="210">
        <f>'business model (in Real terms)'!AH149</f>
        <v>6900.1993668796749</v>
      </c>
      <c r="AI67" s="210">
        <f>'business model (in Real terms)'!AI149</f>
        <v>6931.5649732612437</v>
      </c>
      <c r="AJ67" s="210">
        <f>'business model (in Real terms)'!AJ149</f>
        <v>6962.647857598924</v>
      </c>
      <c r="AK67" s="210">
        <f>'business model (in Real terms)'!AK149</f>
        <v>6993.4487120171161</v>
      </c>
      <c r="AL67" s="210">
        <f>'business model (in Real terms)'!AL149</f>
        <v>7023.9681181610431</v>
      </c>
      <c r="AM67" s="210">
        <f>'business model (in Real terms)'!AM149</f>
        <v>7054.206548319602</v>
      </c>
      <c r="AN67" s="210">
        <f>'business model (in Real terms)'!AN149</f>
        <v>7084.1643665119609</v>
      </c>
      <c r="AO67" s="210">
        <f>'business model (in Real terms)'!AO149</f>
        <v>7113.8418295385018</v>
      </c>
      <c r="AP67" s="210">
        <f>'business model (in Real terms)'!AP149</f>
        <v>7143.2390879967297</v>
      </c>
      <c r="AQ67" s="210">
        <f>'business model (in Real terms)'!AQ149</f>
        <v>7172.3561872627761</v>
      </c>
      <c r="AR67" s="210">
        <f>'business model (in Real terms)'!AR149</f>
        <v>7201.1930684389972</v>
      </c>
      <c r="AS67" s="210">
        <f>'business model (in Real terms)'!AS149</f>
        <v>7229.749569268306</v>
      </c>
      <c r="AT67" s="210">
        <f>'business model (in Real terms)'!AT149</f>
        <v>7258.0254250157614</v>
      </c>
      <c r="AU67" s="210">
        <f>'business model (in Real terms)'!AU149</f>
        <v>7286.0202693179326</v>
      </c>
      <c r="AV67" s="210">
        <f>'business model (in Real terms)'!AV149</f>
        <v>7330.9825932459407</v>
      </c>
      <c r="AW67" s="210">
        <f>'business model (in Real terms)'!AW149</f>
        <v>7337.0448244614672</v>
      </c>
      <c r="AX67" s="210">
        <f>'business model (in Real terms)'!AX149</f>
        <v>7272.9050016175788</v>
      </c>
      <c r="AY67" s="210">
        <f>'business model (in Real terms)'!AY149</f>
        <v>9024.0124011292737</v>
      </c>
    </row>
    <row r="68" spans="1:51" s="176" customFormat="1" ht="13" x14ac:dyDescent="0.3">
      <c r="A68" s="194" t="str">
        <f>A$26</f>
        <v>Inflator - $</v>
      </c>
      <c r="B68" s="194"/>
      <c r="C68" s="223"/>
      <c r="D68" s="248">
        <f t="shared" ref="D68:O68" si="28">D$26</f>
        <v>1.0008329864001619</v>
      </c>
      <c r="E68" s="248">
        <f t="shared" si="28"/>
        <v>1.0025010413774955</v>
      </c>
      <c r="F68" s="248">
        <f t="shared" si="28"/>
        <v>1.004171876446458</v>
      </c>
      <c r="G68" s="248">
        <f t="shared" si="28"/>
        <v>1.0058454962405354</v>
      </c>
      <c r="H68" s="248">
        <f t="shared" si="28"/>
        <v>1.0075219054009363</v>
      </c>
      <c r="I68" s="248">
        <f t="shared" si="28"/>
        <v>1.0092011085766046</v>
      </c>
      <c r="J68" s="248">
        <f t="shared" si="28"/>
        <v>1.0108831104242324</v>
      </c>
      <c r="K68" s="248">
        <f t="shared" si="28"/>
        <v>1.0125679156082728</v>
      </c>
      <c r="L68" s="248">
        <f t="shared" si="28"/>
        <v>1.0142555288009532</v>
      </c>
      <c r="M68" s="248">
        <f t="shared" si="28"/>
        <v>1.0159459546822882</v>
      </c>
      <c r="N68" s="248">
        <f t="shared" si="28"/>
        <v>1.0176391979400921</v>
      </c>
      <c r="O68" s="248">
        <f t="shared" si="28"/>
        <v>1.0193352632699924</v>
      </c>
      <c r="P68" s="248">
        <f t="shared" ref="P68:AY68" si="29">P$26</f>
        <v>1.0210341553754423</v>
      </c>
      <c r="Q68" s="248">
        <f t="shared" si="29"/>
        <v>1.0227358789677348</v>
      </c>
      <c r="R68" s="248">
        <f t="shared" si="29"/>
        <v>1.0244404387660144</v>
      </c>
      <c r="S68" s="248">
        <f t="shared" si="29"/>
        <v>1.0261478394972912</v>
      </c>
      <c r="T68" s="248">
        <f t="shared" si="29"/>
        <v>1.0278580858964534</v>
      </c>
      <c r="U68" s="248">
        <f t="shared" si="29"/>
        <v>1.029571182706281</v>
      </c>
      <c r="V68" s="248">
        <f t="shared" si="29"/>
        <v>1.0312871346774581</v>
      </c>
      <c r="W68" s="248">
        <f t="shared" si="29"/>
        <v>1.0330059465685872</v>
      </c>
      <c r="X68" s="248">
        <f t="shared" si="29"/>
        <v>1.0347276231462017</v>
      </c>
      <c r="Y68" s="248">
        <f t="shared" si="29"/>
        <v>1.0364521691847788</v>
      </c>
      <c r="Z68" s="248">
        <f t="shared" si="29"/>
        <v>1.0381795894667534</v>
      </c>
      <c r="AA68" s="248">
        <f t="shared" si="29"/>
        <v>1.0399098887825313</v>
      </c>
      <c r="AB68" s="248">
        <f t="shared" si="29"/>
        <v>1.0416430719305023</v>
      </c>
      <c r="AC68" s="248">
        <f t="shared" si="29"/>
        <v>1.0433791437170532</v>
      </c>
      <c r="AD68" s="248">
        <f t="shared" si="29"/>
        <v>1.0451181089565817</v>
      </c>
      <c r="AE68" s="248">
        <f t="shared" si="29"/>
        <v>1.0468599724715095</v>
      </c>
      <c r="AF68" s="248">
        <f t="shared" si="29"/>
        <v>1.0486047390922955</v>
      </c>
      <c r="AG68" s="248">
        <f t="shared" si="29"/>
        <v>1.0503524136574494</v>
      </c>
      <c r="AH68" s="248">
        <f t="shared" si="29"/>
        <v>1.052103001013545</v>
      </c>
      <c r="AI68" s="248">
        <f t="shared" si="29"/>
        <v>1.0538565060152343</v>
      </c>
      <c r="AJ68" s="248">
        <f t="shared" si="29"/>
        <v>1.0556129335252598</v>
      </c>
      <c r="AK68" s="248">
        <f t="shared" si="29"/>
        <v>1.0573722884144685</v>
      </c>
      <c r="AL68" s="248">
        <f t="shared" si="29"/>
        <v>1.059134575561826</v>
      </c>
      <c r="AM68" s="248">
        <f t="shared" si="29"/>
        <v>1.0608997998544292</v>
      </c>
      <c r="AN68" s="248">
        <f t="shared" si="29"/>
        <v>1.06266796618752</v>
      </c>
      <c r="AO68" s="248">
        <f t="shared" si="29"/>
        <v>1.0644390794644993</v>
      </c>
      <c r="AP68" s="248">
        <f t="shared" si="29"/>
        <v>1.0662131445969403</v>
      </c>
      <c r="AQ68" s="248">
        <f t="shared" si="29"/>
        <v>1.0679901665046019</v>
      </c>
      <c r="AR68" s="248">
        <f t="shared" si="29"/>
        <v>1.0697701501154429</v>
      </c>
      <c r="AS68" s="248">
        <f t="shared" si="29"/>
        <v>1.0715531003656353</v>
      </c>
      <c r="AT68" s="248">
        <f t="shared" si="29"/>
        <v>1.073339022199578</v>
      </c>
      <c r="AU68" s="248">
        <f t="shared" si="29"/>
        <v>1.0751279205699107</v>
      </c>
      <c r="AV68" s="248">
        <f t="shared" si="29"/>
        <v>1.0769198004375273</v>
      </c>
      <c r="AW68" s="248">
        <f t="shared" si="29"/>
        <v>1.0787146667715899</v>
      </c>
      <c r="AX68" s="248">
        <f t="shared" si="29"/>
        <v>1.0805125245495426</v>
      </c>
      <c r="AY68" s="248">
        <f t="shared" si="29"/>
        <v>1.0823133787571253</v>
      </c>
    </row>
    <row r="69" spans="1:51" s="191" customFormat="1" ht="13" x14ac:dyDescent="0.3">
      <c r="A69" s="192" t="s">
        <v>83</v>
      </c>
      <c r="B69" s="192" t="s">
        <v>108</v>
      </c>
      <c r="C69" s="242">
        <f>SUM(D69:AY69)</f>
        <v>295372.74008360907</v>
      </c>
      <c r="D69" s="249">
        <f t="shared" ref="D69:O69" si="30">D67*D68</f>
        <v>-1100.9162850401781</v>
      </c>
      <c r="E69" s="249">
        <f t="shared" si="30"/>
        <v>-400.24094606510573</v>
      </c>
      <c r="F69" s="249">
        <f t="shared" si="30"/>
        <v>-42.807263861771439</v>
      </c>
      <c r="G69" s="249">
        <f t="shared" si="30"/>
        <v>155.94527661078624</v>
      </c>
      <c r="H69" s="249">
        <f t="shared" si="30"/>
        <v>-1354.7063950811062</v>
      </c>
      <c r="I69" s="249">
        <f t="shared" si="30"/>
        <v>-1156.8623710978343</v>
      </c>
      <c r="J69" s="249">
        <f t="shared" si="30"/>
        <v>6032.7802832767138</v>
      </c>
      <c r="K69" s="249">
        <f t="shared" si="30"/>
        <v>6174.0419548151986</v>
      </c>
      <c r="L69" s="249">
        <f t="shared" si="30"/>
        <v>6223.21180042574</v>
      </c>
      <c r="M69" s="249">
        <f t="shared" si="30"/>
        <v>6272.1907824901064</v>
      </c>
      <c r="N69" s="249">
        <f t="shared" si="30"/>
        <v>6320.9812666943471</v>
      </c>
      <c r="O69" s="249">
        <f t="shared" si="30"/>
        <v>6369.585487697077</v>
      </c>
      <c r="P69" s="249">
        <f t="shared" ref="P69:AY69" si="31">P67*P68</f>
        <v>6418.0055501728457</v>
      </c>
      <c r="Q69" s="249">
        <f t="shared" si="31"/>
        <v>6466.2434298151347</v>
      </c>
      <c r="R69" s="249">
        <f t="shared" si="31"/>
        <v>6514.3009742994791</v>
      </c>
      <c r="S69" s="249">
        <f t="shared" si="31"/>
        <v>6562.1799042072398</v>
      </c>
      <c r="T69" s="249">
        <f t="shared" si="31"/>
        <v>6609.8818139105169</v>
      </c>
      <c r="U69" s="249">
        <f t="shared" si="31"/>
        <v>6657.4081724186544</v>
      </c>
      <c r="V69" s="249">
        <f t="shared" si="31"/>
        <v>6704.760324186841</v>
      </c>
      <c r="W69" s="249">
        <f t="shared" si="31"/>
        <v>6751.9394898872461</v>
      </c>
      <c r="X69" s="249">
        <f t="shared" si="31"/>
        <v>6798.9467671430975</v>
      </c>
      <c r="Y69" s="249">
        <f t="shared" si="31"/>
        <v>6845.7831312262006</v>
      </c>
      <c r="Z69" s="249">
        <f t="shared" si="31"/>
        <v>6892.4494357182448</v>
      </c>
      <c r="AA69" s="249">
        <f t="shared" si="31"/>
        <v>6938.9464131363657</v>
      </c>
      <c r="AB69" s="249">
        <f t="shared" si="31"/>
        <v>6985.2746755233011</v>
      </c>
      <c r="AC69" s="249">
        <f t="shared" si="31"/>
        <v>7031.4347150025651</v>
      </c>
      <c r="AD69" s="249">
        <f t="shared" si="31"/>
        <v>7077.4269042990081</v>
      </c>
      <c r="AE69" s="249">
        <f t="shared" si="31"/>
        <v>7123.2514972251056</v>
      </c>
      <c r="AF69" s="249">
        <f t="shared" si="31"/>
        <v>7168.9086291333415</v>
      </c>
      <c r="AG69" s="249">
        <f t="shared" si="31"/>
        <v>7214.3983173350207</v>
      </c>
      <c r="AH69" s="249">
        <f t="shared" si="31"/>
        <v>7259.7204614858692</v>
      </c>
      <c r="AI69" s="249">
        <f t="shared" si="31"/>
        <v>7304.8748439386754</v>
      </c>
      <c r="AJ69" s="249">
        <f t="shared" si="31"/>
        <v>7349.8611300633656</v>
      </c>
      <c r="AK69" s="249">
        <f t="shared" si="31"/>
        <v>7394.6788685347556</v>
      </c>
      <c r="AL69" s="249">
        <f t="shared" si="31"/>
        <v>7439.3274915882939</v>
      </c>
      <c r="AM69" s="249">
        <f t="shared" si="31"/>
        <v>7483.8063152440691</v>
      </c>
      <c r="AN69" s="249">
        <f t="shared" si="31"/>
        <v>7528.1145394993664</v>
      </c>
      <c r="AO69" s="249">
        <f t="shared" si="31"/>
        <v>7572.2512484900126</v>
      </c>
      <c r="AP69" s="249">
        <f t="shared" si="31"/>
        <v>7616.2154106207727</v>
      </c>
      <c r="AQ69" s="249">
        <f t="shared" si="31"/>
        <v>7660.0058786650834</v>
      </c>
      <c r="AR69" s="249">
        <f t="shared" si="31"/>
        <v>7703.621389834273</v>
      </c>
      <c r="AS69" s="249">
        <f t="shared" si="31"/>
        <v>7747.0605658165696</v>
      </c>
      <c r="AT69" s="249">
        <f t="shared" si="31"/>
        <v>7790.3219127860939</v>
      </c>
      <c r="AU69" s="249">
        <f t="shared" si="31"/>
        <v>7833.4038213820095</v>
      </c>
      <c r="AV69" s="249">
        <f t="shared" si="31"/>
        <v>7894.8803113294052</v>
      </c>
      <c r="AW69" s="249">
        <f t="shared" si="31"/>
        <v>7914.5778629071701</v>
      </c>
      <c r="AX69" s="249">
        <f t="shared" si="31"/>
        <v>7858.464944106805</v>
      </c>
      <c r="AY69" s="249">
        <f t="shared" si="31"/>
        <v>9766.8093518124242</v>
      </c>
    </row>
    <row r="70" spans="1:51" s="191" customFormat="1" ht="13" x14ac:dyDescent="0.3">
      <c r="A70" s="192" t="s">
        <v>82</v>
      </c>
      <c r="B70" s="192"/>
      <c r="C70" s="24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2"/>
      <c r="AK70" s="192"/>
      <c r="AL70" s="192"/>
      <c r="AM70" s="192"/>
      <c r="AN70" s="192"/>
      <c r="AO70" s="192"/>
      <c r="AP70" s="192"/>
      <c r="AQ70" s="192"/>
      <c r="AR70" s="192"/>
      <c r="AS70" s="192"/>
      <c r="AT70" s="192"/>
      <c r="AU70" s="192"/>
      <c r="AV70" s="192"/>
      <c r="AW70" s="192"/>
      <c r="AX70" s="192"/>
      <c r="AY70" s="192"/>
    </row>
    <row r="71" spans="1:51" s="191" customFormat="1" ht="13" x14ac:dyDescent="0.3">
      <c r="A71" s="192" t="str">
        <f>A51</f>
        <v xml:space="preserve">Interest - paid </v>
      </c>
      <c r="B71" s="192" t="str">
        <f>B51</f>
        <v>$ Nominal</v>
      </c>
      <c r="C71" s="242">
        <f>SUM(D71:AY71)</f>
        <v>1178.9051892510163</v>
      </c>
      <c r="D71" s="243">
        <f t="shared" ref="D71:O71" si="32">D51</f>
        <v>1.8348604750669635</v>
      </c>
      <c r="E71" s="243">
        <f t="shared" si="32"/>
        <v>22.531909718900472</v>
      </c>
      <c r="F71" s="243">
        <f t="shared" si="32"/>
        <v>85.814053801051841</v>
      </c>
      <c r="G71" s="243">
        <f t="shared" si="32"/>
        <v>185.73729538556378</v>
      </c>
      <c r="H71" s="243">
        <f t="shared" si="32"/>
        <v>279.11588571705255</v>
      </c>
      <c r="I71" s="243">
        <f t="shared" si="32"/>
        <v>300</v>
      </c>
      <c r="J71" s="243">
        <f t="shared" si="32"/>
        <v>226.09958378964046</v>
      </c>
      <c r="K71" s="243">
        <f t="shared" si="32"/>
        <v>60.723311840767373</v>
      </c>
      <c r="L71" s="243">
        <f t="shared" si="32"/>
        <v>17.048288522972925</v>
      </c>
      <c r="M71" s="243">
        <f t="shared" si="32"/>
        <v>0</v>
      </c>
      <c r="N71" s="243">
        <f t="shared" si="32"/>
        <v>0</v>
      </c>
      <c r="O71" s="243">
        <f t="shared" si="32"/>
        <v>0</v>
      </c>
      <c r="P71" s="243">
        <f t="shared" ref="P71:AY71" si="33">P51</f>
        <v>0</v>
      </c>
      <c r="Q71" s="243">
        <f t="shared" si="33"/>
        <v>0</v>
      </c>
      <c r="R71" s="243">
        <f t="shared" si="33"/>
        <v>0</v>
      </c>
      <c r="S71" s="243">
        <f t="shared" si="33"/>
        <v>0</v>
      </c>
      <c r="T71" s="243">
        <f t="shared" si="33"/>
        <v>0</v>
      </c>
      <c r="U71" s="243">
        <f t="shared" si="33"/>
        <v>0</v>
      </c>
      <c r="V71" s="243">
        <f t="shared" si="33"/>
        <v>0</v>
      </c>
      <c r="W71" s="243">
        <f t="shared" si="33"/>
        <v>0</v>
      </c>
      <c r="X71" s="243">
        <f t="shared" si="33"/>
        <v>0</v>
      </c>
      <c r="Y71" s="243">
        <f t="shared" si="33"/>
        <v>0</v>
      </c>
      <c r="Z71" s="243">
        <f t="shared" si="33"/>
        <v>0</v>
      </c>
      <c r="AA71" s="243">
        <f t="shared" si="33"/>
        <v>0</v>
      </c>
      <c r="AB71" s="243">
        <f t="shared" si="33"/>
        <v>0</v>
      </c>
      <c r="AC71" s="243">
        <f t="shared" si="33"/>
        <v>0</v>
      </c>
      <c r="AD71" s="243">
        <f t="shared" si="33"/>
        <v>0</v>
      </c>
      <c r="AE71" s="243">
        <f t="shared" si="33"/>
        <v>0</v>
      </c>
      <c r="AF71" s="243">
        <f t="shared" si="33"/>
        <v>0</v>
      </c>
      <c r="AG71" s="243">
        <f t="shared" si="33"/>
        <v>0</v>
      </c>
      <c r="AH71" s="243">
        <f t="shared" si="33"/>
        <v>0</v>
      </c>
      <c r="AI71" s="243">
        <f t="shared" si="33"/>
        <v>0</v>
      </c>
      <c r="AJ71" s="243">
        <f t="shared" si="33"/>
        <v>0</v>
      </c>
      <c r="AK71" s="243">
        <f t="shared" si="33"/>
        <v>0</v>
      </c>
      <c r="AL71" s="243">
        <f t="shared" si="33"/>
        <v>0</v>
      </c>
      <c r="AM71" s="243">
        <f t="shared" si="33"/>
        <v>0</v>
      </c>
      <c r="AN71" s="243">
        <f t="shared" si="33"/>
        <v>0</v>
      </c>
      <c r="AO71" s="243">
        <f t="shared" si="33"/>
        <v>0</v>
      </c>
      <c r="AP71" s="243">
        <f t="shared" si="33"/>
        <v>0</v>
      </c>
      <c r="AQ71" s="243">
        <f t="shared" si="33"/>
        <v>0</v>
      </c>
      <c r="AR71" s="243">
        <f t="shared" si="33"/>
        <v>0</v>
      </c>
      <c r="AS71" s="243">
        <f t="shared" si="33"/>
        <v>0</v>
      </c>
      <c r="AT71" s="243">
        <f t="shared" si="33"/>
        <v>0</v>
      </c>
      <c r="AU71" s="243">
        <f t="shared" si="33"/>
        <v>0</v>
      </c>
      <c r="AV71" s="243">
        <f t="shared" si="33"/>
        <v>0</v>
      </c>
      <c r="AW71" s="243">
        <f t="shared" si="33"/>
        <v>0</v>
      </c>
      <c r="AX71" s="243">
        <f t="shared" si="33"/>
        <v>0</v>
      </c>
      <c r="AY71" s="243">
        <f t="shared" si="33"/>
        <v>0</v>
      </c>
    </row>
    <row r="72" spans="1:51" s="191" customFormat="1" ht="13" x14ac:dyDescent="0.3">
      <c r="A72" s="192" t="s">
        <v>81</v>
      </c>
      <c r="B72" s="192" t="s">
        <v>108</v>
      </c>
      <c r="C72" s="242">
        <f>SUM(D72:AY72)</f>
        <v>294193.83489435806</v>
      </c>
      <c r="D72" s="249">
        <f t="shared" ref="D72:O72" si="34">D69-D71</f>
        <v>-1102.7511455152451</v>
      </c>
      <c r="E72" s="249">
        <f t="shared" si="34"/>
        <v>-422.7728557840062</v>
      </c>
      <c r="F72" s="249">
        <f t="shared" si="34"/>
        <v>-128.62131766282329</v>
      </c>
      <c r="G72" s="249">
        <f t="shared" si="34"/>
        <v>-29.792018774777546</v>
      </c>
      <c r="H72" s="249">
        <f t="shared" si="34"/>
        <v>-1633.8222807981588</v>
      </c>
      <c r="I72" s="249">
        <f t="shared" si="34"/>
        <v>-1456.8623710978343</v>
      </c>
      <c r="J72" s="249">
        <f t="shared" si="34"/>
        <v>5806.6806994870731</v>
      </c>
      <c r="K72" s="249">
        <f t="shared" si="34"/>
        <v>6113.318642974431</v>
      </c>
      <c r="L72" s="249">
        <f t="shared" si="34"/>
        <v>6206.1635119027669</v>
      </c>
      <c r="M72" s="249">
        <f t="shared" si="34"/>
        <v>6272.1907824901064</v>
      </c>
      <c r="N72" s="249">
        <f t="shared" si="34"/>
        <v>6320.9812666943471</v>
      </c>
      <c r="O72" s="249">
        <f t="shared" si="34"/>
        <v>6369.585487697077</v>
      </c>
      <c r="P72" s="249">
        <f t="shared" ref="P72:AY72" si="35">P69-P71</f>
        <v>6418.0055501728457</v>
      </c>
      <c r="Q72" s="249">
        <f t="shared" si="35"/>
        <v>6466.2434298151347</v>
      </c>
      <c r="R72" s="249">
        <f t="shared" si="35"/>
        <v>6514.3009742994791</v>
      </c>
      <c r="S72" s="249">
        <f t="shared" si="35"/>
        <v>6562.1799042072398</v>
      </c>
      <c r="T72" s="249">
        <f t="shared" si="35"/>
        <v>6609.8818139105169</v>
      </c>
      <c r="U72" s="249">
        <f t="shared" si="35"/>
        <v>6657.4081724186544</v>
      </c>
      <c r="V72" s="249">
        <f t="shared" si="35"/>
        <v>6704.760324186841</v>
      </c>
      <c r="W72" s="249">
        <f t="shared" si="35"/>
        <v>6751.9394898872461</v>
      </c>
      <c r="X72" s="249">
        <f t="shared" si="35"/>
        <v>6798.9467671430975</v>
      </c>
      <c r="Y72" s="249">
        <f t="shared" si="35"/>
        <v>6845.7831312262006</v>
      </c>
      <c r="Z72" s="249">
        <f t="shared" si="35"/>
        <v>6892.4494357182448</v>
      </c>
      <c r="AA72" s="249">
        <f t="shared" si="35"/>
        <v>6938.9464131363657</v>
      </c>
      <c r="AB72" s="249">
        <f t="shared" si="35"/>
        <v>6985.2746755233011</v>
      </c>
      <c r="AC72" s="249">
        <f t="shared" si="35"/>
        <v>7031.4347150025651</v>
      </c>
      <c r="AD72" s="249">
        <f t="shared" si="35"/>
        <v>7077.4269042990081</v>
      </c>
      <c r="AE72" s="249">
        <f t="shared" si="35"/>
        <v>7123.2514972251056</v>
      </c>
      <c r="AF72" s="249">
        <f t="shared" si="35"/>
        <v>7168.9086291333415</v>
      </c>
      <c r="AG72" s="249">
        <f t="shared" si="35"/>
        <v>7214.3983173350207</v>
      </c>
      <c r="AH72" s="249">
        <f t="shared" si="35"/>
        <v>7259.7204614858692</v>
      </c>
      <c r="AI72" s="249">
        <f t="shared" si="35"/>
        <v>7304.8748439386754</v>
      </c>
      <c r="AJ72" s="249">
        <f t="shared" si="35"/>
        <v>7349.8611300633656</v>
      </c>
      <c r="AK72" s="249">
        <f t="shared" si="35"/>
        <v>7394.6788685347556</v>
      </c>
      <c r="AL72" s="249">
        <f t="shared" si="35"/>
        <v>7439.3274915882939</v>
      </c>
      <c r="AM72" s="249">
        <f t="shared" si="35"/>
        <v>7483.8063152440691</v>
      </c>
      <c r="AN72" s="249">
        <f t="shared" si="35"/>
        <v>7528.1145394993664</v>
      </c>
      <c r="AO72" s="249">
        <f t="shared" si="35"/>
        <v>7572.2512484900126</v>
      </c>
      <c r="AP72" s="249">
        <f t="shared" si="35"/>
        <v>7616.2154106207727</v>
      </c>
      <c r="AQ72" s="249">
        <f t="shared" si="35"/>
        <v>7660.0058786650834</v>
      </c>
      <c r="AR72" s="249">
        <f t="shared" si="35"/>
        <v>7703.621389834273</v>
      </c>
      <c r="AS72" s="249">
        <f t="shared" si="35"/>
        <v>7747.0605658165696</v>
      </c>
      <c r="AT72" s="249">
        <f t="shared" si="35"/>
        <v>7790.3219127860939</v>
      </c>
      <c r="AU72" s="249">
        <f t="shared" si="35"/>
        <v>7833.4038213820095</v>
      </c>
      <c r="AV72" s="249">
        <f t="shared" si="35"/>
        <v>7894.8803113294052</v>
      </c>
      <c r="AW72" s="249">
        <f t="shared" si="35"/>
        <v>7914.5778629071701</v>
      </c>
      <c r="AX72" s="249">
        <f t="shared" si="35"/>
        <v>7858.464944106805</v>
      </c>
      <c r="AY72" s="249">
        <f t="shared" si="35"/>
        <v>9766.8093518124242</v>
      </c>
    </row>
    <row r="73" spans="1:51" s="196" customFormat="1" ht="13.5" thickBot="1" x14ac:dyDescent="0.35">
      <c r="A73" s="200"/>
      <c r="C73" s="250"/>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251"/>
      <c r="AP73" s="251"/>
      <c r="AQ73" s="251"/>
      <c r="AR73" s="251"/>
      <c r="AS73" s="251"/>
      <c r="AT73" s="251"/>
      <c r="AU73" s="251"/>
      <c r="AV73" s="251"/>
      <c r="AW73" s="251"/>
      <c r="AX73" s="251"/>
      <c r="AY73" s="251"/>
    </row>
    <row r="74" spans="1:51" s="191" customFormat="1" ht="13.5" thickBot="1" x14ac:dyDescent="0.35">
      <c r="A74" s="192" t="s">
        <v>80</v>
      </c>
      <c r="B74" s="192" t="s">
        <v>108</v>
      </c>
      <c r="C74" s="242"/>
      <c r="D74" s="252">
        <v>0</v>
      </c>
      <c r="E74" s="236">
        <f t="shared" ref="E74:O74" si="36">D77</f>
        <v>-1102.7511455152451</v>
      </c>
      <c r="F74" s="236">
        <f t="shared" si="36"/>
        <v>-1525.5240012992513</v>
      </c>
      <c r="G74" s="236">
        <f t="shared" si="36"/>
        <v>-1654.1453189620745</v>
      </c>
      <c r="H74" s="236">
        <f t="shared" si="36"/>
        <v>-1683.937337736852</v>
      </c>
      <c r="I74" s="236">
        <f t="shared" si="36"/>
        <v>-3317.7596185350108</v>
      </c>
      <c r="J74" s="236">
        <f t="shared" si="36"/>
        <v>-4774.6219896328448</v>
      </c>
      <c r="K74" s="236">
        <f t="shared" si="36"/>
        <v>0</v>
      </c>
      <c r="L74" s="236">
        <f t="shared" si="36"/>
        <v>0</v>
      </c>
      <c r="M74" s="236">
        <f t="shared" si="36"/>
        <v>0</v>
      </c>
      <c r="N74" s="236">
        <f t="shared" si="36"/>
        <v>0</v>
      </c>
      <c r="O74" s="236">
        <f t="shared" si="36"/>
        <v>0</v>
      </c>
      <c r="P74" s="236">
        <f t="shared" ref="P74:AY74" si="37">O77</f>
        <v>0</v>
      </c>
      <c r="Q74" s="236">
        <f t="shared" si="37"/>
        <v>0</v>
      </c>
      <c r="R74" s="236">
        <f t="shared" si="37"/>
        <v>0</v>
      </c>
      <c r="S74" s="236">
        <f t="shared" si="37"/>
        <v>0</v>
      </c>
      <c r="T74" s="236">
        <f t="shared" si="37"/>
        <v>0</v>
      </c>
      <c r="U74" s="236">
        <f t="shared" si="37"/>
        <v>0</v>
      </c>
      <c r="V74" s="236">
        <f t="shared" si="37"/>
        <v>0</v>
      </c>
      <c r="W74" s="236">
        <f t="shared" si="37"/>
        <v>0</v>
      </c>
      <c r="X74" s="236">
        <f t="shared" si="37"/>
        <v>0</v>
      </c>
      <c r="Y74" s="236">
        <f t="shared" si="37"/>
        <v>0</v>
      </c>
      <c r="Z74" s="236">
        <f t="shared" si="37"/>
        <v>0</v>
      </c>
      <c r="AA74" s="236">
        <f t="shared" si="37"/>
        <v>0</v>
      </c>
      <c r="AB74" s="236">
        <f t="shared" si="37"/>
        <v>0</v>
      </c>
      <c r="AC74" s="236">
        <f t="shared" si="37"/>
        <v>0</v>
      </c>
      <c r="AD74" s="236">
        <f t="shared" si="37"/>
        <v>0</v>
      </c>
      <c r="AE74" s="236">
        <f t="shared" si="37"/>
        <v>0</v>
      </c>
      <c r="AF74" s="236">
        <f t="shared" si="37"/>
        <v>0</v>
      </c>
      <c r="AG74" s="236">
        <f t="shared" si="37"/>
        <v>0</v>
      </c>
      <c r="AH74" s="236">
        <f t="shared" si="37"/>
        <v>0</v>
      </c>
      <c r="AI74" s="236">
        <f t="shared" si="37"/>
        <v>0</v>
      </c>
      <c r="AJ74" s="236">
        <f t="shared" si="37"/>
        <v>0</v>
      </c>
      <c r="AK74" s="236">
        <f t="shared" si="37"/>
        <v>0</v>
      </c>
      <c r="AL74" s="236">
        <f t="shared" si="37"/>
        <v>0</v>
      </c>
      <c r="AM74" s="236">
        <f t="shared" si="37"/>
        <v>0</v>
      </c>
      <c r="AN74" s="236">
        <f t="shared" si="37"/>
        <v>0</v>
      </c>
      <c r="AO74" s="236">
        <f t="shared" si="37"/>
        <v>0</v>
      </c>
      <c r="AP74" s="236">
        <f t="shared" si="37"/>
        <v>0</v>
      </c>
      <c r="AQ74" s="236">
        <f t="shared" si="37"/>
        <v>0</v>
      </c>
      <c r="AR74" s="236">
        <f t="shared" si="37"/>
        <v>0</v>
      </c>
      <c r="AS74" s="236">
        <f t="shared" si="37"/>
        <v>0</v>
      </c>
      <c r="AT74" s="236">
        <f t="shared" si="37"/>
        <v>0</v>
      </c>
      <c r="AU74" s="236">
        <f t="shared" si="37"/>
        <v>0</v>
      </c>
      <c r="AV74" s="236">
        <f t="shared" si="37"/>
        <v>0</v>
      </c>
      <c r="AW74" s="236">
        <f t="shared" si="37"/>
        <v>0</v>
      </c>
      <c r="AX74" s="236">
        <f t="shared" si="37"/>
        <v>0</v>
      </c>
      <c r="AY74" s="236">
        <f t="shared" si="37"/>
        <v>0</v>
      </c>
    </row>
    <row r="75" spans="1:51" s="191" customFormat="1" ht="13" x14ac:dyDescent="0.3">
      <c r="A75" s="192" t="s">
        <v>79</v>
      </c>
      <c r="B75" s="192" t="str">
        <f>B55</f>
        <v>$ Nominal</v>
      </c>
      <c r="C75" s="242"/>
      <c r="D75" s="236">
        <f t="shared" ref="D75:O75" si="38">D74+D72</f>
        <v>-1102.7511455152451</v>
      </c>
      <c r="E75" s="236">
        <f t="shared" si="38"/>
        <v>-1525.5240012992513</v>
      </c>
      <c r="F75" s="236">
        <f t="shared" si="38"/>
        <v>-1654.1453189620745</v>
      </c>
      <c r="G75" s="236">
        <f t="shared" si="38"/>
        <v>-1683.937337736852</v>
      </c>
      <c r="H75" s="236">
        <f t="shared" si="38"/>
        <v>-3317.7596185350108</v>
      </c>
      <c r="I75" s="236">
        <f t="shared" si="38"/>
        <v>-4774.6219896328448</v>
      </c>
      <c r="J75" s="236">
        <f t="shared" si="38"/>
        <v>1032.0587098542283</v>
      </c>
      <c r="K75" s="236">
        <f t="shared" si="38"/>
        <v>6113.318642974431</v>
      </c>
      <c r="L75" s="236">
        <f t="shared" si="38"/>
        <v>6206.1635119027669</v>
      </c>
      <c r="M75" s="236">
        <f t="shared" si="38"/>
        <v>6272.1907824901064</v>
      </c>
      <c r="N75" s="236">
        <f t="shared" si="38"/>
        <v>6320.9812666943471</v>
      </c>
      <c r="O75" s="236">
        <f t="shared" si="38"/>
        <v>6369.585487697077</v>
      </c>
      <c r="P75" s="236">
        <f t="shared" ref="P75:AY75" si="39">P74+P72</f>
        <v>6418.0055501728457</v>
      </c>
      <c r="Q75" s="236">
        <f t="shared" si="39"/>
        <v>6466.2434298151347</v>
      </c>
      <c r="R75" s="236">
        <f t="shared" si="39"/>
        <v>6514.3009742994791</v>
      </c>
      <c r="S75" s="236">
        <f t="shared" si="39"/>
        <v>6562.1799042072398</v>
      </c>
      <c r="T75" s="236">
        <f t="shared" si="39"/>
        <v>6609.8818139105169</v>
      </c>
      <c r="U75" s="236">
        <f t="shared" si="39"/>
        <v>6657.4081724186544</v>
      </c>
      <c r="V75" s="236">
        <f t="shared" si="39"/>
        <v>6704.760324186841</v>
      </c>
      <c r="W75" s="236">
        <f t="shared" si="39"/>
        <v>6751.9394898872461</v>
      </c>
      <c r="X75" s="236">
        <f t="shared" si="39"/>
        <v>6798.9467671430975</v>
      </c>
      <c r="Y75" s="236">
        <f t="shared" si="39"/>
        <v>6845.7831312262006</v>
      </c>
      <c r="Z75" s="236">
        <f t="shared" si="39"/>
        <v>6892.4494357182448</v>
      </c>
      <c r="AA75" s="236">
        <f t="shared" si="39"/>
        <v>6938.9464131363657</v>
      </c>
      <c r="AB75" s="236">
        <f t="shared" si="39"/>
        <v>6985.2746755233011</v>
      </c>
      <c r="AC75" s="236">
        <f t="shared" si="39"/>
        <v>7031.4347150025651</v>
      </c>
      <c r="AD75" s="236">
        <f t="shared" si="39"/>
        <v>7077.4269042990081</v>
      </c>
      <c r="AE75" s="236">
        <f t="shared" si="39"/>
        <v>7123.2514972251056</v>
      </c>
      <c r="AF75" s="236">
        <f t="shared" si="39"/>
        <v>7168.9086291333415</v>
      </c>
      <c r="AG75" s="236">
        <f t="shared" si="39"/>
        <v>7214.3983173350207</v>
      </c>
      <c r="AH75" s="236">
        <f t="shared" si="39"/>
        <v>7259.7204614858692</v>
      </c>
      <c r="AI75" s="236">
        <f t="shared" si="39"/>
        <v>7304.8748439386754</v>
      </c>
      <c r="AJ75" s="236">
        <f t="shared" si="39"/>
        <v>7349.8611300633656</v>
      </c>
      <c r="AK75" s="236">
        <f t="shared" si="39"/>
        <v>7394.6788685347556</v>
      </c>
      <c r="AL75" s="236">
        <f t="shared" si="39"/>
        <v>7439.3274915882939</v>
      </c>
      <c r="AM75" s="236">
        <f t="shared" si="39"/>
        <v>7483.8063152440691</v>
      </c>
      <c r="AN75" s="236">
        <f t="shared" si="39"/>
        <v>7528.1145394993664</v>
      </c>
      <c r="AO75" s="236">
        <f t="shared" si="39"/>
        <v>7572.2512484900126</v>
      </c>
      <c r="AP75" s="236">
        <f t="shared" si="39"/>
        <v>7616.2154106207727</v>
      </c>
      <c r="AQ75" s="236">
        <f t="shared" si="39"/>
        <v>7660.0058786650834</v>
      </c>
      <c r="AR75" s="236">
        <f t="shared" si="39"/>
        <v>7703.621389834273</v>
      </c>
      <c r="AS75" s="236">
        <f t="shared" si="39"/>
        <v>7747.0605658165696</v>
      </c>
      <c r="AT75" s="236">
        <f t="shared" si="39"/>
        <v>7790.3219127860939</v>
      </c>
      <c r="AU75" s="236">
        <f t="shared" si="39"/>
        <v>7833.4038213820095</v>
      </c>
      <c r="AV75" s="236">
        <f t="shared" si="39"/>
        <v>7894.8803113294052</v>
      </c>
      <c r="AW75" s="236">
        <f t="shared" si="39"/>
        <v>7914.5778629071701</v>
      </c>
      <c r="AX75" s="236">
        <f t="shared" si="39"/>
        <v>7858.464944106805</v>
      </c>
      <c r="AY75" s="236">
        <f t="shared" si="39"/>
        <v>9766.8093518124242</v>
      </c>
    </row>
    <row r="76" spans="1:51" s="254" customFormat="1" ht="13" x14ac:dyDescent="0.3">
      <c r="A76" s="253" t="s">
        <v>78</v>
      </c>
      <c r="B76" s="192" t="str">
        <f>B56</f>
        <v>$  Nominal</v>
      </c>
      <c r="C76" s="242">
        <f>SUM(D76:AY76)</f>
        <v>294193.83489435806</v>
      </c>
      <c r="D76" s="242">
        <f t="shared" ref="D76:O76" si="40">IF(D75&lt;0,0,D75)</f>
        <v>0</v>
      </c>
      <c r="E76" s="242">
        <f t="shared" si="40"/>
        <v>0</v>
      </c>
      <c r="F76" s="242">
        <f t="shared" si="40"/>
        <v>0</v>
      </c>
      <c r="G76" s="242">
        <f t="shared" si="40"/>
        <v>0</v>
      </c>
      <c r="H76" s="242">
        <f t="shared" si="40"/>
        <v>0</v>
      </c>
      <c r="I76" s="242">
        <f t="shared" si="40"/>
        <v>0</v>
      </c>
      <c r="J76" s="242">
        <f t="shared" si="40"/>
        <v>1032.0587098542283</v>
      </c>
      <c r="K76" s="242">
        <f t="shared" si="40"/>
        <v>6113.318642974431</v>
      </c>
      <c r="L76" s="242">
        <f t="shared" si="40"/>
        <v>6206.1635119027669</v>
      </c>
      <c r="M76" s="242">
        <f t="shared" si="40"/>
        <v>6272.1907824901064</v>
      </c>
      <c r="N76" s="242">
        <f t="shared" si="40"/>
        <v>6320.9812666943471</v>
      </c>
      <c r="O76" s="242">
        <f t="shared" si="40"/>
        <v>6369.585487697077</v>
      </c>
      <c r="P76" s="242">
        <f t="shared" ref="P76:AY76" si="41">IF(P75&lt;0,0,P75)</f>
        <v>6418.0055501728457</v>
      </c>
      <c r="Q76" s="242">
        <f t="shared" si="41"/>
        <v>6466.2434298151347</v>
      </c>
      <c r="R76" s="242">
        <f t="shared" si="41"/>
        <v>6514.3009742994791</v>
      </c>
      <c r="S76" s="242">
        <f t="shared" si="41"/>
        <v>6562.1799042072398</v>
      </c>
      <c r="T76" s="242">
        <f t="shared" si="41"/>
        <v>6609.8818139105169</v>
      </c>
      <c r="U76" s="242">
        <f t="shared" si="41"/>
        <v>6657.4081724186544</v>
      </c>
      <c r="V76" s="242">
        <f t="shared" si="41"/>
        <v>6704.760324186841</v>
      </c>
      <c r="W76" s="242">
        <f t="shared" si="41"/>
        <v>6751.9394898872461</v>
      </c>
      <c r="X76" s="242">
        <f t="shared" si="41"/>
        <v>6798.9467671430975</v>
      </c>
      <c r="Y76" s="242">
        <f t="shared" si="41"/>
        <v>6845.7831312262006</v>
      </c>
      <c r="Z76" s="242">
        <f t="shared" si="41"/>
        <v>6892.4494357182448</v>
      </c>
      <c r="AA76" s="242">
        <f t="shared" si="41"/>
        <v>6938.9464131363657</v>
      </c>
      <c r="AB76" s="242">
        <f t="shared" si="41"/>
        <v>6985.2746755233011</v>
      </c>
      <c r="AC76" s="242">
        <f t="shared" si="41"/>
        <v>7031.4347150025651</v>
      </c>
      <c r="AD76" s="242">
        <f t="shared" si="41"/>
        <v>7077.4269042990081</v>
      </c>
      <c r="AE76" s="242">
        <f t="shared" si="41"/>
        <v>7123.2514972251056</v>
      </c>
      <c r="AF76" s="242">
        <f t="shared" si="41"/>
        <v>7168.9086291333415</v>
      </c>
      <c r="AG76" s="242">
        <f t="shared" si="41"/>
        <v>7214.3983173350207</v>
      </c>
      <c r="AH76" s="242">
        <f t="shared" si="41"/>
        <v>7259.7204614858692</v>
      </c>
      <c r="AI76" s="242">
        <f t="shared" si="41"/>
        <v>7304.8748439386754</v>
      </c>
      <c r="AJ76" s="242">
        <f t="shared" si="41"/>
        <v>7349.8611300633656</v>
      </c>
      <c r="AK76" s="242">
        <f t="shared" si="41"/>
        <v>7394.6788685347556</v>
      </c>
      <c r="AL76" s="242">
        <f t="shared" si="41"/>
        <v>7439.3274915882939</v>
      </c>
      <c r="AM76" s="242">
        <f t="shared" si="41"/>
        <v>7483.8063152440691</v>
      </c>
      <c r="AN76" s="242">
        <f t="shared" si="41"/>
        <v>7528.1145394993664</v>
      </c>
      <c r="AO76" s="242">
        <f t="shared" si="41"/>
        <v>7572.2512484900126</v>
      </c>
      <c r="AP76" s="242">
        <f t="shared" si="41"/>
        <v>7616.2154106207727</v>
      </c>
      <c r="AQ76" s="242">
        <f t="shared" si="41"/>
        <v>7660.0058786650834</v>
      </c>
      <c r="AR76" s="242">
        <f t="shared" si="41"/>
        <v>7703.621389834273</v>
      </c>
      <c r="AS76" s="242">
        <f t="shared" si="41"/>
        <v>7747.0605658165696</v>
      </c>
      <c r="AT76" s="242">
        <f t="shared" si="41"/>
        <v>7790.3219127860939</v>
      </c>
      <c r="AU76" s="242">
        <f t="shared" si="41"/>
        <v>7833.4038213820095</v>
      </c>
      <c r="AV76" s="242">
        <f t="shared" si="41"/>
        <v>7894.8803113294052</v>
      </c>
      <c r="AW76" s="242">
        <f t="shared" si="41"/>
        <v>7914.5778629071701</v>
      </c>
      <c r="AX76" s="242">
        <f t="shared" si="41"/>
        <v>7858.464944106805</v>
      </c>
      <c r="AY76" s="242">
        <f t="shared" si="41"/>
        <v>9766.8093518124242</v>
      </c>
    </row>
    <row r="77" spans="1:51" s="191" customFormat="1" ht="13" x14ac:dyDescent="0.3">
      <c r="A77" s="192" t="s">
        <v>77</v>
      </c>
      <c r="B77" s="192" t="str">
        <f>B57</f>
        <v>$ Nominal</v>
      </c>
      <c r="C77" s="242"/>
      <c r="D77" s="236">
        <f t="shared" ref="D77:O77" si="42">IF(D75&lt;0,D75,0)</f>
        <v>-1102.7511455152451</v>
      </c>
      <c r="E77" s="236">
        <f t="shared" si="42"/>
        <v>-1525.5240012992513</v>
      </c>
      <c r="F77" s="236">
        <f t="shared" si="42"/>
        <v>-1654.1453189620745</v>
      </c>
      <c r="G77" s="236">
        <f t="shared" si="42"/>
        <v>-1683.937337736852</v>
      </c>
      <c r="H77" s="236">
        <f t="shared" si="42"/>
        <v>-3317.7596185350108</v>
      </c>
      <c r="I77" s="236">
        <f t="shared" si="42"/>
        <v>-4774.6219896328448</v>
      </c>
      <c r="J77" s="236">
        <f t="shared" si="42"/>
        <v>0</v>
      </c>
      <c r="K77" s="236">
        <f t="shared" si="42"/>
        <v>0</v>
      </c>
      <c r="L77" s="236">
        <f t="shared" si="42"/>
        <v>0</v>
      </c>
      <c r="M77" s="236">
        <f t="shared" si="42"/>
        <v>0</v>
      </c>
      <c r="N77" s="236">
        <f t="shared" si="42"/>
        <v>0</v>
      </c>
      <c r="O77" s="236">
        <f t="shared" si="42"/>
        <v>0</v>
      </c>
      <c r="P77" s="236">
        <f t="shared" ref="P77:AY77" si="43">IF(P75&lt;0,P75,0)</f>
        <v>0</v>
      </c>
      <c r="Q77" s="236">
        <f t="shared" si="43"/>
        <v>0</v>
      </c>
      <c r="R77" s="236">
        <f t="shared" si="43"/>
        <v>0</v>
      </c>
      <c r="S77" s="236">
        <f t="shared" si="43"/>
        <v>0</v>
      </c>
      <c r="T77" s="236">
        <f t="shared" si="43"/>
        <v>0</v>
      </c>
      <c r="U77" s="236">
        <f t="shared" si="43"/>
        <v>0</v>
      </c>
      <c r="V77" s="236">
        <f t="shared" si="43"/>
        <v>0</v>
      </c>
      <c r="W77" s="236">
        <f t="shared" si="43"/>
        <v>0</v>
      </c>
      <c r="X77" s="236">
        <f t="shared" si="43"/>
        <v>0</v>
      </c>
      <c r="Y77" s="236">
        <f t="shared" si="43"/>
        <v>0</v>
      </c>
      <c r="Z77" s="236">
        <f t="shared" si="43"/>
        <v>0</v>
      </c>
      <c r="AA77" s="236">
        <f t="shared" si="43"/>
        <v>0</v>
      </c>
      <c r="AB77" s="236">
        <f t="shared" si="43"/>
        <v>0</v>
      </c>
      <c r="AC77" s="236">
        <f t="shared" si="43"/>
        <v>0</v>
      </c>
      <c r="AD77" s="236">
        <f t="shared" si="43"/>
        <v>0</v>
      </c>
      <c r="AE77" s="236">
        <f t="shared" si="43"/>
        <v>0</v>
      </c>
      <c r="AF77" s="236">
        <f t="shared" si="43"/>
        <v>0</v>
      </c>
      <c r="AG77" s="236">
        <f t="shared" si="43"/>
        <v>0</v>
      </c>
      <c r="AH77" s="236">
        <f t="shared" si="43"/>
        <v>0</v>
      </c>
      <c r="AI77" s="236">
        <f t="shared" si="43"/>
        <v>0</v>
      </c>
      <c r="AJ77" s="236">
        <f t="shared" si="43"/>
        <v>0</v>
      </c>
      <c r="AK77" s="236">
        <f t="shared" si="43"/>
        <v>0</v>
      </c>
      <c r="AL77" s="236">
        <f t="shared" si="43"/>
        <v>0</v>
      </c>
      <c r="AM77" s="236">
        <f t="shared" si="43"/>
        <v>0</v>
      </c>
      <c r="AN77" s="236">
        <f t="shared" si="43"/>
        <v>0</v>
      </c>
      <c r="AO77" s="236">
        <f t="shared" si="43"/>
        <v>0</v>
      </c>
      <c r="AP77" s="236">
        <f t="shared" si="43"/>
        <v>0</v>
      </c>
      <c r="AQ77" s="236">
        <f t="shared" si="43"/>
        <v>0</v>
      </c>
      <c r="AR77" s="236">
        <f t="shared" si="43"/>
        <v>0</v>
      </c>
      <c r="AS77" s="236">
        <f t="shared" si="43"/>
        <v>0</v>
      </c>
      <c r="AT77" s="236">
        <f t="shared" si="43"/>
        <v>0</v>
      </c>
      <c r="AU77" s="236">
        <f t="shared" si="43"/>
        <v>0</v>
      </c>
      <c r="AV77" s="236">
        <f t="shared" si="43"/>
        <v>0</v>
      </c>
      <c r="AW77" s="236">
        <f t="shared" si="43"/>
        <v>0</v>
      </c>
      <c r="AX77" s="236">
        <f t="shared" si="43"/>
        <v>0</v>
      </c>
      <c r="AY77" s="236">
        <f t="shared" si="43"/>
        <v>0</v>
      </c>
    </row>
    <row r="78" spans="1:51" s="176" customFormat="1" ht="13" x14ac:dyDescent="0.3">
      <c r="A78" s="194"/>
      <c r="C78" s="22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c r="AK78" s="213"/>
      <c r="AL78" s="213"/>
      <c r="AM78" s="213"/>
      <c r="AN78" s="213"/>
      <c r="AO78" s="213"/>
      <c r="AP78" s="213"/>
      <c r="AQ78" s="213"/>
      <c r="AR78" s="213"/>
      <c r="AS78" s="213"/>
      <c r="AT78" s="213"/>
      <c r="AU78" s="213"/>
      <c r="AV78" s="213"/>
      <c r="AW78" s="213"/>
      <c r="AX78" s="213"/>
      <c r="AY78" s="213"/>
    </row>
    <row r="79" spans="1:51" s="139" customFormat="1" ht="13" x14ac:dyDescent="0.3">
      <c r="A79" s="199" t="str">
        <f>'business model (in Real terms)'!A155</f>
        <v>Company Income Tax  Rate</v>
      </c>
      <c r="B79" s="199" t="str">
        <f>'business model (in Real terms)'!B155</f>
        <v>% of assessable income</v>
      </c>
      <c r="C79" s="255">
        <f>'business model (in Real terms)'!C155</f>
        <v>0</v>
      </c>
      <c r="D79" s="255">
        <f>'business model (in Real terms)'!D155</f>
        <v>0.25</v>
      </c>
      <c r="E79" s="255">
        <f>'business model (in Real terms)'!E155</f>
        <v>0.25</v>
      </c>
      <c r="F79" s="255">
        <f>'business model (in Real terms)'!F155</f>
        <v>0.25</v>
      </c>
      <c r="G79" s="255">
        <f>'business model (in Real terms)'!G155</f>
        <v>0.25</v>
      </c>
      <c r="H79" s="255">
        <f>'business model (in Real terms)'!H155</f>
        <v>0.25</v>
      </c>
      <c r="I79" s="255">
        <f>'business model (in Real terms)'!I155</f>
        <v>0.25</v>
      </c>
      <c r="J79" s="255">
        <f>'business model (in Real terms)'!J155</f>
        <v>0.25</v>
      </c>
      <c r="K79" s="255">
        <f>'business model (in Real terms)'!K155</f>
        <v>0.25</v>
      </c>
      <c r="L79" s="255">
        <f>'business model (in Real terms)'!L155</f>
        <v>0.25</v>
      </c>
      <c r="M79" s="255">
        <f>'business model (in Real terms)'!M155</f>
        <v>0.25</v>
      </c>
      <c r="N79" s="255">
        <f>'business model (in Real terms)'!N155</f>
        <v>0.25</v>
      </c>
      <c r="O79" s="255">
        <f>'business model (in Real terms)'!O155</f>
        <v>0.25</v>
      </c>
      <c r="P79" s="255">
        <f>'business model (in Real terms)'!P155</f>
        <v>0.25</v>
      </c>
      <c r="Q79" s="255">
        <f>'business model (in Real terms)'!Q155</f>
        <v>0.25</v>
      </c>
      <c r="R79" s="255">
        <f>'business model (in Real terms)'!R155</f>
        <v>0.25</v>
      </c>
      <c r="S79" s="255">
        <f>'business model (in Real terms)'!S155</f>
        <v>0.25</v>
      </c>
      <c r="T79" s="255">
        <f>'business model (in Real terms)'!T155</f>
        <v>0.25</v>
      </c>
      <c r="U79" s="255">
        <f>'business model (in Real terms)'!U155</f>
        <v>0.25</v>
      </c>
      <c r="V79" s="255">
        <f>'business model (in Real terms)'!V155</f>
        <v>0.25</v>
      </c>
      <c r="W79" s="255">
        <f>'business model (in Real terms)'!W155</f>
        <v>0.25</v>
      </c>
      <c r="X79" s="255">
        <f>'business model (in Real terms)'!X155</f>
        <v>0.25</v>
      </c>
      <c r="Y79" s="255">
        <f>'business model (in Real terms)'!Y155</f>
        <v>0.25</v>
      </c>
      <c r="Z79" s="255">
        <f>'business model (in Real terms)'!Z155</f>
        <v>0.25</v>
      </c>
      <c r="AA79" s="255">
        <f>'business model (in Real terms)'!AA155</f>
        <v>0.25</v>
      </c>
      <c r="AB79" s="255">
        <f>'business model (in Real terms)'!AB155</f>
        <v>0.25</v>
      </c>
      <c r="AC79" s="255">
        <f>'business model (in Real terms)'!AC155</f>
        <v>0.25</v>
      </c>
      <c r="AD79" s="255">
        <f>'business model (in Real terms)'!AD155</f>
        <v>0.25</v>
      </c>
      <c r="AE79" s="255">
        <f>'business model (in Real terms)'!AE155</f>
        <v>0.25</v>
      </c>
      <c r="AF79" s="255">
        <f>'business model (in Real terms)'!AF155</f>
        <v>0.25</v>
      </c>
      <c r="AG79" s="255">
        <f>'business model (in Real terms)'!AG155</f>
        <v>0.25</v>
      </c>
      <c r="AH79" s="255">
        <f>'business model (in Real terms)'!AH155</f>
        <v>0.25</v>
      </c>
      <c r="AI79" s="255">
        <f>'business model (in Real terms)'!AI155</f>
        <v>0.25</v>
      </c>
      <c r="AJ79" s="255">
        <f>'business model (in Real terms)'!AJ155</f>
        <v>0.25</v>
      </c>
      <c r="AK79" s="255">
        <f>'business model (in Real terms)'!AK155</f>
        <v>0.25</v>
      </c>
      <c r="AL79" s="255">
        <f>'business model (in Real terms)'!AL155</f>
        <v>0.25</v>
      </c>
      <c r="AM79" s="255">
        <f>'business model (in Real terms)'!AM155</f>
        <v>0.25</v>
      </c>
      <c r="AN79" s="255">
        <f>'business model (in Real terms)'!AN155</f>
        <v>0.25</v>
      </c>
      <c r="AO79" s="255">
        <f>'business model (in Real terms)'!AO155</f>
        <v>0.25</v>
      </c>
      <c r="AP79" s="255">
        <f>'business model (in Real terms)'!AP155</f>
        <v>0.25</v>
      </c>
      <c r="AQ79" s="255">
        <f>'business model (in Real terms)'!AQ155</f>
        <v>0.25</v>
      </c>
      <c r="AR79" s="255">
        <f>'business model (in Real terms)'!AR155</f>
        <v>0.25</v>
      </c>
      <c r="AS79" s="255">
        <f>'business model (in Real terms)'!AS155</f>
        <v>0.25</v>
      </c>
      <c r="AT79" s="255">
        <f>'business model (in Real terms)'!AT155</f>
        <v>0.25</v>
      </c>
      <c r="AU79" s="255">
        <f>'business model (in Real terms)'!AU155</f>
        <v>0.25</v>
      </c>
      <c r="AV79" s="255">
        <f>'business model (in Real terms)'!AV155</f>
        <v>0.25</v>
      </c>
      <c r="AW79" s="255">
        <f>'business model (in Real terms)'!AW155</f>
        <v>0.25</v>
      </c>
      <c r="AX79" s="255">
        <f>'business model (in Real terms)'!AX155</f>
        <v>0.25</v>
      </c>
      <c r="AY79" s="255">
        <f>'business model (in Real terms)'!AY155</f>
        <v>0.25</v>
      </c>
    </row>
    <row r="80" spans="1:51" s="171" customFormat="1" ht="13" x14ac:dyDescent="0.3">
      <c r="A80" s="256" t="s">
        <v>76</v>
      </c>
      <c r="B80" s="171" t="s">
        <v>108</v>
      </c>
      <c r="C80" s="223">
        <f>SUM(D80:AY80)</f>
        <v>73548.458723589516</v>
      </c>
      <c r="D80" s="257">
        <f t="shared" ref="D80:O80" si="44">D76*D79</f>
        <v>0</v>
      </c>
      <c r="E80" s="257">
        <f t="shared" si="44"/>
        <v>0</v>
      </c>
      <c r="F80" s="257">
        <f t="shared" si="44"/>
        <v>0</v>
      </c>
      <c r="G80" s="257">
        <f t="shared" si="44"/>
        <v>0</v>
      </c>
      <c r="H80" s="257">
        <f t="shared" si="44"/>
        <v>0</v>
      </c>
      <c r="I80" s="257">
        <f t="shared" si="44"/>
        <v>0</v>
      </c>
      <c r="J80" s="257">
        <f t="shared" si="44"/>
        <v>258.01467746355706</v>
      </c>
      <c r="K80" s="257">
        <f t="shared" si="44"/>
        <v>1528.3296607436077</v>
      </c>
      <c r="L80" s="257">
        <f t="shared" si="44"/>
        <v>1551.5408779756917</v>
      </c>
      <c r="M80" s="257">
        <f t="shared" si="44"/>
        <v>1568.0476956225266</v>
      </c>
      <c r="N80" s="257">
        <f t="shared" si="44"/>
        <v>1580.2453166735868</v>
      </c>
      <c r="O80" s="257">
        <f t="shared" si="44"/>
        <v>1592.3963719242693</v>
      </c>
      <c r="P80" s="257">
        <f t="shared" ref="P80:AY80" si="45">P76*P79</f>
        <v>1604.5013875432114</v>
      </c>
      <c r="Q80" s="257">
        <f t="shared" si="45"/>
        <v>1616.5608574537837</v>
      </c>
      <c r="R80" s="257">
        <f t="shared" si="45"/>
        <v>1628.5752435748698</v>
      </c>
      <c r="S80" s="257">
        <f t="shared" si="45"/>
        <v>1640.54497605181</v>
      </c>
      <c r="T80" s="257">
        <f t="shared" si="45"/>
        <v>1652.4704534776292</v>
      </c>
      <c r="U80" s="257">
        <f t="shared" si="45"/>
        <v>1664.3520431046636</v>
      </c>
      <c r="V80" s="257">
        <f t="shared" si="45"/>
        <v>1676.1900810467102</v>
      </c>
      <c r="W80" s="257">
        <f t="shared" si="45"/>
        <v>1687.9848724718115</v>
      </c>
      <c r="X80" s="257">
        <f t="shared" si="45"/>
        <v>1699.7366917857744</v>
      </c>
      <c r="Y80" s="257">
        <f t="shared" si="45"/>
        <v>1711.4457828065501</v>
      </c>
      <c r="Z80" s="257">
        <f t="shared" si="45"/>
        <v>1723.1123589295612</v>
      </c>
      <c r="AA80" s="257">
        <f t="shared" si="45"/>
        <v>1734.7366032840914</v>
      </c>
      <c r="AB80" s="257">
        <f t="shared" si="45"/>
        <v>1746.3186688808253</v>
      </c>
      <c r="AC80" s="257">
        <f t="shared" si="45"/>
        <v>1757.8586787506413</v>
      </c>
      <c r="AD80" s="257">
        <f t="shared" si="45"/>
        <v>1769.356726074752</v>
      </c>
      <c r="AE80" s="257">
        <f t="shared" si="45"/>
        <v>1780.8128743062764</v>
      </c>
      <c r="AF80" s="257">
        <f t="shared" si="45"/>
        <v>1792.2271572833354</v>
      </c>
      <c r="AG80" s="257">
        <f t="shared" si="45"/>
        <v>1803.5995793337552</v>
      </c>
      <c r="AH80" s="257">
        <f t="shared" si="45"/>
        <v>1814.9301153714673</v>
      </c>
      <c r="AI80" s="257">
        <f t="shared" si="45"/>
        <v>1826.2187109846689</v>
      </c>
      <c r="AJ80" s="257">
        <f t="shared" si="45"/>
        <v>1837.4652825158414</v>
      </c>
      <c r="AK80" s="257">
        <f t="shared" si="45"/>
        <v>1848.6697171336889</v>
      </c>
      <c r="AL80" s="257">
        <f t="shared" si="45"/>
        <v>1859.8318728970735</v>
      </c>
      <c r="AM80" s="257">
        <f t="shared" si="45"/>
        <v>1870.9515788110173</v>
      </c>
      <c r="AN80" s="257">
        <f t="shared" si="45"/>
        <v>1882.0286348748416</v>
      </c>
      <c r="AO80" s="257">
        <f t="shared" si="45"/>
        <v>1893.0628121225031</v>
      </c>
      <c r="AP80" s="257">
        <f t="shared" si="45"/>
        <v>1904.0538526551932</v>
      </c>
      <c r="AQ80" s="257">
        <f t="shared" si="45"/>
        <v>1915.0014696662709</v>
      </c>
      <c r="AR80" s="257">
        <f t="shared" si="45"/>
        <v>1925.9053474585683</v>
      </c>
      <c r="AS80" s="257">
        <f t="shared" si="45"/>
        <v>1936.7651414541424</v>
      </c>
      <c r="AT80" s="257">
        <f t="shared" si="45"/>
        <v>1947.5804781965235</v>
      </c>
      <c r="AU80" s="257">
        <f t="shared" si="45"/>
        <v>1958.3509553455024</v>
      </c>
      <c r="AV80" s="257">
        <f t="shared" si="45"/>
        <v>1973.7200778323513</v>
      </c>
      <c r="AW80" s="257">
        <f t="shared" si="45"/>
        <v>1978.6444657267925</v>
      </c>
      <c r="AX80" s="257">
        <f t="shared" si="45"/>
        <v>1964.6162360267012</v>
      </c>
      <c r="AY80" s="257">
        <f t="shared" si="45"/>
        <v>2441.7023379531061</v>
      </c>
    </row>
    <row r="81" spans="1:51" s="176" customFormat="1" ht="13" x14ac:dyDescent="0.3">
      <c r="A81" s="194" t="str">
        <f>A$26</f>
        <v>Inflator - $</v>
      </c>
      <c r="B81" s="194"/>
      <c r="C81" s="223"/>
      <c r="D81" s="258">
        <f t="shared" ref="D81:O81" si="46">D$26</f>
        <v>1.0008329864001619</v>
      </c>
      <c r="E81" s="258">
        <f t="shared" si="46"/>
        <v>1.0025010413774955</v>
      </c>
      <c r="F81" s="258">
        <f t="shared" si="46"/>
        <v>1.004171876446458</v>
      </c>
      <c r="G81" s="258">
        <f t="shared" si="46"/>
        <v>1.0058454962405354</v>
      </c>
      <c r="H81" s="258">
        <f t="shared" si="46"/>
        <v>1.0075219054009363</v>
      </c>
      <c r="I81" s="258">
        <f t="shared" si="46"/>
        <v>1.0092011085766046</v>
      </c>
      <c r="J81" s="258">
        <f t="shared" si="46"/>
        <v>1.0108831104242324</v>
      </c>
      <c r="K81" s="258">
        <f t="shared" si="46"/>
        <v>1.0125679156082728</v>
      </c>
      <c r="L81" s="258">
        <f t="shared" si="46"/>
        <v>1.0142555288009532</v>
      </c>
      <c r="M81" s="258">
        <f t="shared" si="46"/>
        <v>1.0159459546822882</v>
      </c>
      <c r="N81" s="258">
        <f t="shared" si="46"/>
        <v>1.0176391979400921</v>
      </c>
      <c r="O81" s="258">
        <f t="shared" si="46"/>
        <v>1.0193352632699924</v>
      </c>
      <c r="P81" s="258">
        <f t="shared" ref="P81:AY81" si="47">P$26</f>
        <v>1.0210341553754423</v>
      </c>
      <c r="Q81" s="258">
        <f t="shared" si="47"/>
        <v>1.0227358789677348</v>
      </c>
      <c r="R81" s="258">
        <f t="shared" si="47"/>
        <v>1.0244404387660144</v>
      </c>
      <c r="S81" s="258">
        <f t="shared" si="47"/>
        <v>1.0261478394972912</v>
      </c>
      <c r="T81" s="258">
        <f t="shared" si="47"/>
        <v>1.0278580858964534</v>
      </c>
      <c r="U81" s="258">
        <f t="shared" si="47"/>
        <v>1.029571182706281</v>
      </c>
      <c r="V81" s="258">
        <f t="shared" si="47"/>
        <v>1.0312871346774581</v>
      </c>
      <c r="W81" s="258">
        <f t="shared" si="47"/>
        <v>1.0330059465685872</v>
      </c>
      <c r="X81" s="258">
        <f t="shared" si="47"/>
        <v>1.0347276231462017</v>
      </c>
      <c r="Y81" s="258">
        <f t="shared" si="47"/>
        <v>1.0364521691847788</v>
      </c>
      <c r="Z81" s="258">
        <f t="shared" si="47"/>
        <v>1.0381795894667534</v>
      </c>
      <c r="AA81" s="258">
        <f t="shared" si="47"/>
        <v>1.0399098887825313</v>
      </c>
      <c r="AB81" s="258">
        <f t="shared" si="47"/>
        <v>1.0416430719305023</v>
      </c>
      <c r="AC81" s="258">
        <f t="shared" si="47"/>
        <v>1.0433791437170532</v>
      </c>
      <c r="AD81" s="258">
        <f t="shared" si="47"/>
        <v>1.0451181089565817</v>
      </c>
      <c r="AE81" s="258">
        <f t="shared" si="47"/>
        <v>1.0468599724715095</v>
      </c>
      <c r="AF81" s="258">
        <f t="shared" si="47"/>
        <v>1.0486047390922955</v>
      </c>
      <c r="AG81" s="258">
        <f t="shared" si="47"/>
        <v>1.0503524136574494</v>
      </c>
      <c r="AH81" s="258">
        <f t="shared" si="47"/>
        <v>1.052103001013545</v>
      </c>
      <c r="AI81" s="258">
        <f t="shared" si="47"/>
        <v>1.0538565060152343</v>
      </c>
      <c r="AJ81" s="258">
        <f t="shared" si="47"/>
        <v>1.0556129335252598</v>
      </c>
      <c r="AK81" s="258">
        <f t="shared" si="47"/>
        <v>1.0573722884144685</v>
      </c>
      <c r="AL81" s="258">
        <f t="shared" si="47"/>
        <v>1.059134575561826</v>
      </c>
      <c r="AM81" s="258">
        <f t="shared" si="47"/>
        <v>1.0608997998544292</v>
      </c>
      <c r="AN81" s="258">
        <f t="shared" si="47"/>
        <v>1.06266796618752</v>
      </c>
      <c r="AO81" s="258">
        <f t="shared" si="47"/>
        <v>1.0644390794644993</v>
      </c>
      <c r="AP81" s="258">
        <f t="shared" si="47"/>
        <v>1.0662131445969403</v>
      </c>
      <c r="AQ81" s="258">
        <f t="shared" si="47"/>
        <v>1.0679901665046019</v>
      </c>
      <c r="AR81" s="258">
        <f t="shared" si="47"/>
        <v>1.0697701501154429</v>
      </c>
      <c r="AS81" s="258">
        <f t="shared" si="47"/>
        <v>1.0715531003656353</v>
      </c>
      <c r="AT81" s="258">
        <f t="shared" si="47"/>
        <v>1.073339022199578</v>
      </c>
      <c r="AU81" s="258">
        <f t="shared" si="47"/>
        <v>1.0751279205699107</v>
      </c>
      <c r="AV81" s="258">
        <f t="shared" si="47"/>
        <v>1.0769198004375273</v>
      </c>
      <c r="AW81" s="258">
        <f t="shared" si="47"/>
        <v>1.0787146667715899</v>
      </c>
      <c r="AX81" s="258">
        <f t="shared" si="47"/>
        <v>1.0805125245495426</v>
      </c>
      <c r="AY81" s="258">
        <f t="shared" si="47"/>
        <v>1.0823133787571253</v>
      </c>
    </row>
    <row r="82" spans="1:51" s="201" customFormat="1" x14ac:dyDescent="0.35">
      <c r="A82" s="201" t="str">
        <f>A64</f>
        <v>Income Tax - after project funding</v>
      </c>
      <c r="B82" s="195" t="s">
        <v>44</v>
      </c>
      <c r="C82" s="197">
        <f>SUM(D82:AY82)</f>
        <v>70160.351775676492</v>
      </c>
      <c r="D82" s="259">
        <f t="shared" ref="D82:AY82" si="48">D80/D81</f>
        <v>0</v>
      </c>
      <c r="E82" s="259">
        <f t="shared" si="48"/>
        <v>0</v>
      </c>
      <c r="F82" s="259">
        <f t="shared" si="48"/>
        <v>0</v>
      </c>
      <c r="G82" s="259">
        <f t="shared" si="48"/>
        <v>0</v>
      </c>
      <c r="H82" s="259">
        <f t="shared" si="48"/>
        <v>0</v>
      </c>
      <c r="I82" s="259">
        <f t="shared" si="48"/>
        <v>0</v>
      </c>
      <c r="J82" s="259">
        <f t="shared" si="48"/>
        <v>255.23690603088352</v>
      </c>
      <c r="K82" s="259">
        <f t="shared" si="48"/>
        <v>1509.3601497589473</v>
      </c>
      <c r="L82" s="259">
        <f t="shared" si="48"/>
        <v>1529.7337149445111</v>
      </c>
      <c r="M82" s="259">
        <f t="shared" si="48"/>
        <v>1543.4361329908484</v>
      </c>
      <c r="N82" s="259">
        <f t="shared" si="48"/>
        <v>1552.854213823842</v>
      </c>
      <c r="O82" s="259">
        <f t="shared" si="48"/>
        <v>1562.1909977056191</v>
      </c>
      <c r="P82" s="259">
        <f t="shared" si="48"/>
        <v>1571.4473204407384</v>
      </c>
      <c r="Q82" s="259">
        <f t="shared" si="48"/>
        <v>1580.6239819076327</v>
      </c>
      <c r="R82" s="259">
        <f t="shared" si="48"/>
        <v>1589.7217465727567</v>
      </c>
      <c r="S82" s="259">
        <f t="shared" si="48"/>
        <v>1598.7413439914383</v>
      </c>
      <c r="T82" s="259">
        <f t="shared" si="48"/>
        <v>1607.6834692956818</v>
      </c>
      <c r="U82" s="259">
        <f t="shared" si="48"/>
        <v>1616.5487836691664</v>
      </c>
      <c r="V82" s="259">
        <f t="shared" si="48"/>
        <v>1625.3379148096808</v>
      </c>
      <c r="W82" s="259">
        <f t="shared" si="48"/>
        <v>1634.0514573792304</v>
      </c>
      <c r="X82" s="259">
        <f t="shared" si="48"/>
        <v>1642.6899734420354</v>
      </c>
      <c r="Y82" s="259">
        <f t="shared" si="48"/>
        <v>1651.2539928906583</v>
      </c>
      <c r="Z82" s="259">
        <f t="shared" si="48"/>
        <v>1659.7440138604672</v>
      </c>
      <c r="AA82" s="259">
        <f t="shared" si="48"/>
        <v>1668.1605031326555</v>
      </c>
      <c r="AB82" s="259">
        <f t="shared" si="48"/>
        <v>1676.5038965260246</v>
      </c>
      <c r="AC82" s="259">
        <f t="shared" si="48"/>
        <v>1684.7745992777318</v>
      </c>
      <c r="AD82" s="259">
        <f t="shared" si="48"/>
        <v>1692.9729864132112</v>
      </c>
      <c r="AE82" s="259">
        <f t="shared" si="48"/>
        <v>1701.0994031054536</v>
      </c>
      <c r="AF82" s="259">
        <f t="shared" si="48"/>
        <v>1709.1541650238414</v>
      </c>
      <c r="AG82" s="259">
        <f t="shared" si="48"/>
        <v>1717.1375586727236</v>
      </c>
      <c r="AH82" s="259">
        <f t="shared" si="48"/>
        <v>1725.0498417199187</v>
      </c>
      <c r="AI82" s="259">
        <f t="shared" si="48"/>
        <v>1732.8912433153109</v>
      </c>
      <c r="AJ82" s="259">
        <f t="shared" si="48"/>
        <v>1740.661964399731</v>
      </c>
      <c r="AK82" s="259">
        <f t="shared" si="48"/>
        <v>1748.362178004279</v>
      </c>
      <c r="AL82" s="259">
        <f t="shared" si="48"/>
        <v>1755.9920295402608</v>
      </c>
      <c r="AM82" s="259">
        <f t="shared" si="48"/>
        <v>1763.5516370799005</v>
      </c>
      <c r="AN82" s="259">
        <f t="shared" si="48"/>
        <v>1771.0410916279902</v>
      </c>
      <c r="AO82" s="259">
        <f t="shared" si="48"/>
        <v>1778.4604573846254</v>
      </c>
      <c r="AP82" s="259">
        <f t="shared" si="48"/>
        <v>1785.8097719991824</v>
      </c>
      <c r="AQ82" s="259">
        <f t="shared" si="48"/>
        <v>1793.089046815694</v>
      </c>
      <c r="AR82" s="259">
        <f t="shared" si="48"/>
        <v>1800.2982671097493</v>
      </c>
      <c r="AS82" s="259">
        <f t="shared" si="48"/>
        <v>1807.4373923170765</v>
      </c>
      <c r="AT82" s="259">
        <f t="shared" si="48"/>
        <v>1814.5063562539403</v>
      </c>
      <c r="AU82" s="259">
        <f t="shared" si="48"/>
        <v>1821.5050673294832</v>
      </c>
      <c r="AV82" s="259">
        <f t="shared" si="48"/>
        <v>1832.7456483114852</v>
      </c>
      <c r="AW82" s="259">
        <f t="shared" si="48"/>
        <v>1834.2612061153668</v>
      </c>
      <c r="AX82" s="259">
        <f t="shared" si="48"/>
        <v>1818.2262504043947</v>
      </c>
      <c r="AY82" s="259">
        <f t="shared" si="48"/>
        <v>2256.0031002823184</v>
      </c>
    </row>
    <row r="83" spans="1:51" s="144" customFormat="1" ht="48" customHeight="1" x14ac:dyDescent="0.35">
      <c r="A83" s="261" t="s">
        <v>75</v>
      </c>
      <c r="B83" s="139"/>
      <c r="C83" s="143"/>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202"/>
      <c r="AQ83" s="202"/>
      <c r="AR83" s="202"/>
      <c r="AS83" s="202"/>
      <c r="AT83" s="202"/>
      <c r="AU83" s="202"/>
      <c r="AV83" s="202"/>
      <c r="AW83" s="202"/>
      <c r="AX83" s="202"/>
      <c r="AY83" s="202"/>
    </row>
    <row r="84" spans="1:51" s="144" customFormat="1" x14ac:dyDescent="0.35">
      <c r="A84" s="207" t="s">
        <v>216</v>
      </c>
      <c r="B84" s="139"/>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93"/>
      <c r="AP84" s="193"/>
      <c r="AQ84" s="193"/>
      <c r="AR84" s="193"/>
      <c r="AS84" s="193"/>
      <c r="AT84" s="193"/>
      <c r="AU84" s="193"/>
      <c r="AV84" s="193"/>
      <c r="AW84" s="193"/>
      <c r="AX84" s="193"/>
      <c r="AY84" s="193"/>
    </row>
    <row r="85" spans="1:51" s="144" customFormat="1" x14ac:dyDescent="0.35">
      <c r="A85" s="168" t="str">
        <f>'business model (in Real terms)'!A156</f>
        <v>Income Tax - paid</v>
      </c>
      <c r="B85" s="169" t="str">
        <f>'business model (in Real terms)'!B156</f>
        <v>$ Real</v>
      </c>
      <c r="C85" s="170">
        <f>'business model (in Real terms)'!C156</f>
        <v>70446.832283647105</v>
      </c>
      <c r="D85" s="170">
        <f>'business model (in Real terms)'!D156</f>
        <v>0</v>
      </c>
      <c r="E85" s="170">
        <f>'business model (in Real terms)'!E156</f>
        <v>0</v>
      </c>
      <c r="F85" s="170">
        <f>'business model (in Real terms)'!F156</f>
        <v>0</v>
      </c>
      <c r="G85" s="170">
        <f>'business model (in Real terms)'!G156</f>
        <v>0</v>
      </c>
      <c r="H85" s="170">
        <f>'business model (in Real terms)'!H156</f>
        <v>0</v>
      </c>
      <c r="I85" s="170">
        <f>'business model (in Real terms)'!I156</f>
        <v>0</v>
      </c>
      <c r="J85" s="170">
        <f>'business model (in Real terms)'!J156</f>
        <v>522.52284131437875</v>
      </c>
      <c r="K85" s="170">
        <f>'business model (in Real terms)'!K156</f>
        <v>1524.3525544423137</v>
      </c>
      <c r="L85" s="170">
        <f>'business model (in Real terms)'!L156</f>
        <v>1533.9358829482508</v>
      </c>
      <c r="M85" s="170">
        <f>'business model (in Real terms)'!M156</f>
        <v>1543.4361329908484</v>
      </c>
      <c r="N85" s="170">
        <f>'business model (in Real terms)'!N156</f>
        <v>1552.854213823842</v>
      </c>
      <c r="O85" s="170">
        <f>'business model (in Real terms)'!O156</f>
        <v>1562.1909977056191</v>
      </c>
      <c r="P85" s="170">
        <f>'business model (in Real terms)'!P156</f>
        <v>1571.4473204407384</v>
      </c>
      <c r="Q85" s="170">
        <f>'business model (in Real terms)'!Q156</f>
        <v>1580.6239819076327</v>
      </c>
      <c r="R85" s="170">
        <f>'business model (in Real terms)'!R156</f>
        <v>1589.7217465727567</v>
      </c>
      <c r="S85" s="170">
        <f>'business model (in Real terms)'!S156</f>
        <v>1598.7413439914383</v>
      </c>
      <c r="T85" s="170">
        <f>'business model (in Real terms)'!T156</f>
        <v>1607.6834692956818</v>
      </c>
      <c r="U85" s="170">
        <f>'business model (in Real terms)'!U156</f>
        <v>1616.5487836691664</v>
      </c>
      <c r="V85" s="170">
        <f>'business model (in Real terms)'!V156</f>
        <v>1625.3379148096808</v>
      </c>
      <c r="W85" s="170">
        <f>'business model (in Real terms)'!W156</f>
        <v>1634.0514573792304</v>
      </c>
      <c r="X85" s="170">
        <f>'business model (in Real terms)'!X156</f>
        <v>1642.6899734420354</v>
      </c>
      <c r="Y85" s="170">
        <f>'business model (in Real terms)'!Y156</f>
        <v>1651.2539928906583</v>
      </c>
      <c r="Z85" s="170">
        <f>'business model (in Real terms)'!Z156</f>
        <v>1659.7440138604672</v>
      </c>
      <c r="AA85" s="170">
        <f>'business model (in Real terms)'!AA156</f>
        <v>1668.1605031326555</v>
      </c>
      <c r="AB85" s="170">
        <f>'business model (in Real terms)'!AB156</f>
        <v>1676.5038965260246</v>
      </c>
      <c r="AC85" s="170">
        <f>'business model (in Real terms)'!AC156</f>
        <v>1684.7745992777318</v>
      </c>
      <c r="AD85" s="170">
        <f>'business model (in Real terms)'!AD156</f>
        <v>1692.9729864132112</v>
      </c>
      <c r="AE85" s="170">
        <f>'business model (in Real terms)'!AE156</f>
        <v>1701.0994031054536</v>
      </c>
      <c r="AF85" s="170">
        <f>'business model (in Real terms)'!AF156</f>
        <v>1709.1541650238414</v>
      </c>
      <c r="AG85" s="170">
        <f>'business model (in Real terms)'!AG156</f>
        <v>1717.1375586727236</v>
      </c>
      <c r="AH85" s="170">
        <f>'business model (in Real terms)'!AH156</f>
        <v>1725.0498417199187</v>
      </c>
      <c r="AI85" s="170">
        <f>'business model (in Real terms)'!AI156</f>
        <v>1732.8912433153109</v>
      </c>
      <c r="AJ85" s="170">
        <f>'business model (in Real terms)'!AJ156</f>
        <v>1740.661964399731</v>
      </c>
      <c r="AK85" s="170">
        <f>'business model (in Real terms)'!AK156</f>
        <v>1748.362178004279</v>
      </c>
      <c r="AL85" s="170">
        <f>'business model (in Real terms)'!AL156</f>
        <v>1755.9920295402608</v>
      </c>
      <c r="AM85" s="170">
        <f>'business model (in Real terms)'!AM156</f>
        <v>1763.5516370799005</v>
      </c>
      <c r="AN85" s="170">
        <f>'business model (in Real terms)'!AN156</f>
        <v>1771.0410916279902</v>
      </c>
      <c r="AO85" s="170">
        <f>'business model (in Real terms)'!AO156</f>
        <v>1778.4604573846254</v>
      </c>
      <c r="AP85" s="170">
        <f>'business model (in Real terms)'!AP156</f>
        <v>1785.8097719991824</v>
      </c>
      <c r="AQ85" s="170">
        <f>'business model (in Real terms)'!AQ156</f>
        <v>1793.089046815694</v>
      </c>
      <c r="AR85" s="170">
        <f>'business model (in Real terms)'!AR156</f>
        <v>1800.2982671097493</v>
      </c>
      <c r="AS85" s="170">
        <f>'business model (in Real terms)'!AS156</f>
        <v>1807.4373923170765</v>
      </c>
      <c r="AT85" s="170">
        <f>'business model (in Real terms)'!AT156</f>
        <v>1814.5063562539403</v>
      </c>
      <c r="AU85" s="170">
        <f>'business model (in Real terms)'!AU156</f>
        <v>1821.5050673294832</v>
      </c>
      <c r="AV85" s="170">
        <f>'business model (in Real terms)'!AV156</f>
        <v>1832.7456483114852</v>
      </c>
      <c r="AW85" s="170">
        <f>'business model (in Real terms)'!AW156</f>
        <v>1834.2612061153668</v>
      </c>
      <c r="AX85" s="170">
        <f>'business model (in Real terms)'!AX156</f>
        <v>1818.2262504043947</v>
      </c>
      <c r="AY85" s="170">
        <f>'business model (in Real terms)'!AY156</f>
        <v>2256.0031002823184</v>
      </c>
    </row>
    <row r="86" spans="1:51" s="201" customFormat="1" x14ac:dyDescent="0.35">
      <c r="A86" s="201" t="s">
        <v>74</v>
      </c>
      <c r="B86" s="195" t="str">
        <f>B82</f>
        <v>$ Real</v>
      </c>
      <c r="C86" s="197">
        <f>SUM(D86:AY86)</f>
        <v>-286.48050797060131</v>
      </c>
      <c r="D86" s="259">
        <f t="shared" ref="D86:O86" si="49">D82-D85</f>
        <v>0</v>
      </c>
      <c r="E86" s="259">
        <f t="shared" si="49"/>
        <v>0</v>
      </c>
      <c r="F86" s="259">
        <f t="shared" si="49"/>
        <v>0</v>
      </c>
      <c r="G86" s="259">
        <f t="shared" si="49"/>
        <v>0</v>
      </c>
      <c r="H86" s="259">
        <f t="shared" si="49"/>
        <v>0</v>
      </c>
      <c r="I86" s="259">
        <f t="shared" si="49"/>
        <v>0</v>
      </c>
      <c r="J86" s="259">
        <f t="shared" si="49"/>
        <v>-267.28593528349523</v>
      </c>
      <c r="K86" s="259">
        <f t="shared" si="49"/>
        <v>-14.992404683366431</v>
      </c>
      <c r="L86" s="259">
        <f t="shared" si="49"/>
        <v>-4.2021680037396436</v>
      </c>
      <c r="M86" s="259">
        <f t="shared" si="49"/>
        <v>0</v>
      </c>
      <c r="N86" s="259">
        <f t="shared" si="49"/>
        <v>0</v>
      </c>
      <c r="O86" s="259">
        <f t="shared" si="49"/>
        <v>0</v>
      </c>
      <c r="P86" s="259">
        <f t="shared" ref="P86:AY86" si="50">P82-P85</f>
        <v>0</v>
      </c>
      <c r="Q86" s="259">
        <f t="shared" si="50"/>
        <v>0</v>
      </c>
      <c r="R86" s="259">
        <f t="shared" si="50"/>
        <v>0</v>
      </c>
      <c r="S86" s="259">
        <f t="shared" si="50"/>
        <v>0</v>
      </c>
      <c r="T86" s="259">
        <f t="shared" si="50"/>
        <v>0</v>
      </c>
      <c r="U86" s="259">
        <f t="shared" si="50"/>
        <v>0</v>
      </c>
      <c r="V86" s="259">
        <f t="shared" si="50"/>
        <v>0</v>
      </c>
      <c r="W86" s="259">
        <f t="shared" si="50"/>
        <v>0</v>
      </c>
      <c r="X86" s="259">
        <f t="shared" si="50"/>
        <v>0</v>
      </c>
      <c r="Y86" s="259">
        <f t="shared" si="50"/>
        <v>0</v>
      </c>
      <c r="Z86" s="259">
        <f t="shared" si="50"/>
        <v>0</v>
      </c>
      <c r="AA86" s="259">
        <f t="shared" si="50"/>
        <v>0</v>
      </c>
      <c r="AB86" s="259">
        <f t="shared" si="50"/>
        <v>0</v>
      </c>
      <c r="AC86" s="259">
        <f t="shared" si="50"/>
        <v>0</v>
      </c>
      <c r="AD86" s="259">
        <f t="shared" si="50"/>
        <v>0</v>
      </c>
      <c r="AE86" s="259">
        <f t="shared" si="50"/>
        <v>0</v>
      </c>
      <c r="AF86" s="259">
        <f t="shared" si="50"/>
        <v>0</v>
      </c>
      <c r="AG86" s="259">
        <f t="shared" si="50"/>
        <v>0</v>
      </c>
      <c r="AH86" s="259">
        <f t="shared" si="50"/>
        <v>0</v>
      </c>
      <c r="AI86" s="259">
        <f t="shared" si="50"/>
        <v>0</v>
      </c>
      <c r="AJ86" s="259">
        <f t="shared" si="50"/>
        <v>0</v>
      </c>
      <c r="AK86" s="259">
        <f t="shared" si="50"/>
        <v>0</v>
      </c>
      <c r="AL86" s="259">
        <f t="shared" si="50"/>
        <v>0</v>
      </c>
      <c r="AM86" s="259">
        <f t="shared" si="50"/>
        <v>0</v>
      </c>
      <c r="AN86" s="259">
        <f t="shared" si="50"/>
        <v>0</v>
      </c>
      <c r="AO86" s="259">
        <f t="shared" si="50"/>
        <v>0</v>
      </c>
      <c r="AP86" s="259">
        <f t="shared" si="50"/>
        <v>0</v>
      </c>
      <c r="AQ86" s="259">
        <f t="shared" si="50"/>
        <v>0</v>
      </c>
      <c r="AR86" s="259">
        <f t="shared" si="50"/>
        <v>0</v>
      </c>
      <c r="AS86" s="259">
        <f t="shared" si="50"/>
        <v>0</v>
      </c>
      <c r="AT86" s="259">
        <f t="shared" si="50"/>
        <v>0</v>
      </c>
      <c r="AU86" s="259">
        <f t="shared" si="50"/>
        <v>0</v>
      </c>
      <c r="AV86" s="259">
        <f t="shared" si="50"/>
        <v>0</v>
      </c>
      <c r="AW86" s="259">
        <f t="shared" si="50"/>
        <v>0</v>
      </c>
      <c r="AX86" s="259">
        <f t="shared" si="50"/>
        <v>0</v>
      </c>
      <c r="AY86" s="259">
        <f t="shared" si="50"/>
        <v>0</v>
      </c>
    </row>
    <row r="87" spans="1:51" s="144" customFormat="1" x14ac:dyDescent="0.35">
      <c r="B87" s="139"/>
      <c r="C87" s="167"/>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193"/>
      <c r="AO87" s="193"/>
      <c r="AP87" s="193"/>
      <c r="AQ87" s="193"/>
      <c r="AR87" s="193"/>
      <c r="AS87" s="193"/>
      <c r="AT87" s="193"/>
      <c r="AU87" s="193"/>
      <c r="AV87" s="193"/>
      <c r="AW87" s="193"/>
      <c r="AX87" s="193"/>
      <c r="AY87" s="193"/>
    </row>
  </sheetData>
  <pageMargins left="0.70866141732283472" right="0.70866141732283472" top="0.74803149606299213" bottom="0.74803149606299213" header="0.31496062992125984" footer="0.31496062992125984"/>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 &amp; Audits</vt:lpstr>
      <vt:lpstr>business model (in Real terms)</vt:lpstr>
      <vt:lpstr>project funding (in Nominal)</vt:lpstr>
      <vt:lpstr>'business model (in Real terms)'!Print_Area</vt:lpstr>
      <vt:lpstr>'project funding (in Nominal)'!Print_Area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mpcard</dc:creator>
  <cp:lastModifiedBy>Peter and Margie Card</cp:lastModifiedBy>
  <cp:lastPrinted>2011-08-03T11:26:27Z</cp:lastPrinted>
  <dcterms:created xsi:type="dcterms:W3CDTF">2009-07-21T00:07:29Z</dcterms:created>
  <dcterms:modified xsi:type="dcterms:W3CDTF">2023-09-10T05:56:26Z</dcterms:modified>
</cp:coreProperties>
</file>