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eter\Documents\9. PBC Eco Eval\2023 revamp of working examples\"/>
    </mc:Choice>
  </mc:AlternateContent>
  <xr:revisionPtr revIDLastSave="0" documentId="13_ncr:1_{95CEEBF7-813B-4585-A936-2064EC578B7D}" xr6:coauthVersionLast="47" xr6:coauthVersionMax="47" xr10:uidLastSave="{00000000-0000-0000-0000-000000000000}"/>
  <bookViews>
    <workbookView xWindow="-110" yWindow="-110" windowWidth="19420" windowHeight="11500" tabRatio="798" xr2:uid="{00000000-000D-0000-FFFF-FFFF00000000}"/>
  </bookViews>
  <sheets>
    <sheet name="Introduction" sheetId="20" r:id="rId1"/>
    <sheet name="Results &amp; Common Inputs" sheetId="9" r:id="rId2"/>
    <sheet name="Base Case" sheetId="16" r:id="rId3"/>
    <sheet name="Low Capex Case" sheetId="23" r:id="rId4"/>
    <sheet name="High Grade Short Life Case" sheetId="24" r:id="rId5"/>
  </sheets>
  <definedNames>
    <definedName name="_xlnm.Print_Area" localSheetId="2">'Base Case'!$A$1:$M$265</definedName>
    <definedName name="_xlnm.Print_Area" localSheetId="4">'High Grade Short Life Case'!$A$1:$M$265</definedName>
    <definedName name="_xlnm.Print_Area" localSheetId="0">Introduction!$A$1:$S$30</definedName>
    <definedName name="_xlnm.Print_Area" localSheetId="3">'Low Capex Case'!$A$1:$M$265</definedName>
    <definedName name="_xlnm.Print_Area" localSheetId="1">'Results &amp; Common Inputs'!$A$1:$M$23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4" l="1"/>
  <c r="C19" i="24"/>
  <c r="C18" i="24"/>
  <c r="C17" i="24"/>
  <c r="C16" i="24"/>
  <c r="C14" i="24"/>
  <c r="C13" i="24"/>
  <c r="C11" i="24"/>
  <c r="C10" i="24"/>
  <c r="C20" i="23"/>
  <c r="C19" i="23"/>
  <c r="C18" i="23"/>
  <c r="C17" i="23"/>
  <c r="C16" i="23"/>
  <c r="C14" i="23"/>
  <c r="C13" i="23"/>
  <c r="C11" i="23"/>
  <c r="C10" i="23"/>
  <c r="C20" i="16"/>
  <c r="C19" i="16"/>
  <c r="C18" i="16"/>
  <c r="C17" i="16"/>
  <c r="C16" i="16"/>
  <c r="C14" i="16"/>
  <c r="C13" i="16"/>
  <c r="C11" i="16"/>
  <c r="C10" i="16"/>
  <c r="A19" i="9"/>
  <c r="M23" i="20" l="1"/>
  <c r="L23" i="20"/>
  <c r="K23" i="20"/>
  <c r="J23" i="20"/>
  <c r="I23" i="20"/>
  <c r="H23" i="20"/>
  <c r="G23" i="20"/>
  <c r="F23" i="20"/>
  <c r="E23" i="20"/>
  <c r="D23" i="20"/>
  <c r="B23" i="20"/>
  <c r="A23" i="20"/>
  <c r="D271" i="24" l="1"/>
  <c r="E271" i="24"/>
  <c r="F271" i="24"/>
  <c r="G271" i="24"/>
  <c r="H271" i="24"/>
  <c r="I271" i="24"/>
  <c r="J271" i="24"/>
  <c r="B20" i="9"/>
  <c r="C20" i="9"/>
  <c r="C21" i="9"/>
  <c r="B22" i="9"/>
  <c r="C22" i="9"/>
  <c r="B23" i="9"/>
  <c r="C23" i="9"/>
  <c r="B24" i="9"/>
  <c r="C24" i="9"/>
  <c r="B25" i="9"/>
  <c r="C25" i="9"/>
  <c r="A25" i="9"/>
  <c r="A24" i="9"/>
  <c r="A23" i="9"/>
  <c r="A22" i="9"/>
  <c r="A21" i="9"/>
  <c r="A20" i="9"/>
  <c r="C17" i="9"/>
  <c r="B17" i="9"/>
  <c r="C16" i="9"/>
  <c r="B16" i="9"/>
  <c r="C15" i="9"/>
  <c r="B15" i="9"/>
  <c r="B14" i="9"/>
  <c r="B12" i="9"/>
  <c r="A17" i="9"/>
  <c r="B9" i="9"/>
  <c r="A9" i="9"/>
  <c r="A16" i="9"/>
  <c r="A15" i="9"/>
  <c r="A14" i="9"/>
  <c r="A13" i="9"/>
  <c r="A12" i="9"/>
  <c r="B6" i="9"/>
  <c r="A6" i="9"/>
  <c r="B8" i="9"/>
  <c r="B7" i="9"/>
  <c r="B4" i="9"/>
  <c r="A8" i="9"/>
  <c r="A7" i="9"/>
  <c r="A11" i="9"/>
  <c r="G280" i="24"/>
  <c r="B280" i="24"/>
  <c r="A280" i="24"/>
  <c r="F279" i="24"/>
  <c r="B279" i="24"/>
  <c r="A279" i="24"/>
  <c r="B278" i="24"/>
  <c r="A278" i="24"/>
  <c r="G277" i="24"/>
  <c r="G281" i="24" s="1"/>
  <c r="B277" i="24"/>
  <c r="A277" i="24"/>
  <c r="D276" i="24"/>
  <c r="C276" i="24"/>
  <c r="B276" i="24"/>
  <c r="A276" i="24"/>
  <c r="D273" i="24"/>
  <c r="C273" i="24"/>
  <c r="B273" i="24"/>
  <c r="A273" i="24"/>
  <c r="D261" i="24"/>
  <c r="D262" i="24" s="1"/>
  <c r="B261" i="24"/>
  <c r="A261" i="24"/>
  <c r="B252" i="24"/>
  <c r="A252" i="24"/>
  <c r="B251" i="24"/>
  <c r="A251" i="24"/>
  <c r="B250" i="24"/>
  <c r="A250" i="24"/>
  <c r="B249" i="24"/>
  <c r="A249" i="24"/>
  <c r="D246" i="24"/>
  <c r="C246" i="24"/>
  <c r="B246" i="24"/>
  <c r="A246" i="24"/>
  <c r="D236" i="24"/>
  <c r="B236" i="24"/>
  <c r="A236" i="24"/>
  <c r="B233" i="24"/>
  <c r="A233" i="24"/>
  <c r="B232" i="24"/>
  <c r="A232" i="24"/>
  <c r="B231" i="24"/>
  <c r="A231" i="24"/>
  <c r="B229" i="24"/>
  <c r="A229" i="24"/>
  <c r="D218" i="24"/>
  <c r="B218" i="24"/>
  <c r="A218" i="24"/>
  <c r="B217" i="24"/>
  <c r="A217" i="24"/>
  <c r="D213" i="24"/>
  <c r="C213" i="24"/>
  <c r="B213" i="24"/>
  <c r="A213" i="24"/>
  <c r="F211" i="24"/>
  <c r="F210" i="24"/>
  <c r="D204" i="24"/>
  <c r="A204" i="24"/>
  <c r="G201" i="24"/>
  <c r="H201" i="24" s="1"/>
  <c r="I201" i="24" s="1"/>
  <c r="J201" i="24" s="1"/>
  <c r="K201" i="24" s="1"/>
  <c r="L201" i="24" s="1"/>
  <c r="M201" i="24" s="1"/>
  <c r="F201" i="24"/>
  <c r="E201" i="24"/>
  <c r="D199" i="24"/>
  <c r="J198" i="24"/>
  <c r="K198" i="24" s="1"/>
  <c r="L198" i="24" s="1"/>
  <c r="M198" i="24" s="1"/>
  <c r="I198" i="24"/>
  <c r="F198" i="24"/>
  <c r="G198" i="24" s="1"/>
  <c r="H198" i="24" s="1"/>
  <c r="E198" i="24"/>
  <c r="M197" i="24"/>
  <c r="L197" i="24"/>
  <c r="K197" i="24"/>
  <c r="J197" i="24"/>
  <c r="I197" i="24"/>
  <c r="J202" i="24" s="1"/>
  <c r="H197" i="24"/>
  <c r="I202" i="24" s="1"/>
  <c r="G197" i="24"/>
  <c r="F197" i="24"/>
  <c r="E197" i="24"/>
  <c r="F202" i="24" s="1"/>
  <c r="D197" i="24"/>
  <c r="B197" i="24"/>
  <c r="A197" i="24"/>
  <c r="M196" i="24"/>
  <c r="L196" i="24"/>
  <c r="K196" i="24"/>
  <c r="J196" i="24"/>
  <c r="I196" i="24"/>
  <c r="H196" i="24"/>
  <c r="H199" i="24" s="1"/>
  <c r="G196" i="24"/>
  <c r="G199" i="24" s="1"/>
  <c r="F196" i="24"/>
  <c r="F199" i="24" s="1"/>
  <c r="E196" i="24"/>
  <c r="E199" i="24" s="1"/>
  <c r="D196" i="24"/>
  <c r="B196" i="24"/>
  <c r="A196" i="24"/>
  <c r="A192" i="24"/>
  <c r="E191" i="24"/>
  <c r="F191" i="24" s="1"/>
  <c r="G191" i="24" s="1"/>
  <c r="H191" i="24" s="1"/>
  <c r="I191" i="24" s="1"/>
  <c r="J191" i="24" s="1"/>
  <c r="K191" i="24" s="1"/>
  <c r="L191" i="24" s="1"/>
  <c r="M191" i="24" s="1"/>
  <c r="B190" i="24"/>
  <c r="A190" i="24"/>
  <c r="M183" i="24"/>
  <c r="F183" i="24"/>
  <c r="E183" i="24"/>
  <c r="D183" i="24"/>
  <c r="E182" i="24"/>
  <c r="F182" i="24" s="1"/>
  <c r="G182" i="24" s="1"/>
  <c r="H182" i="24" s="1"/>
  <c r="I182" i="24" s="1"/>
  <c r="J182" i="24" s="1"/>
  <c r="K182" i="24" s="1"/>
  <c r="F179" i="24"/>
  <c r="G179" i="24" s="1"/>
  <c r="E179" i="24"/>
  <c r="M177" i="24"/>
  <c r="L177" i="24"/>
  <c r="K177" i="24"/>
  <c r="J177" i="24"/>
  <c r="I177" i="24"/>
  <c r="H177" i="24"/>
  <c r="G177" i="24"/>
  <c r="G183" i="24" s="1"/>
  <c r="F177" i="24"/>
  <c r="F180" i="24" s="1"/>
  <c r="F185" i="24" s="1"/>
  <c r="E177" i="24"/>
  <c r="E180" i="24" s="1"/>
  <c r="D177" i="24"/>
  <c r="D180" i="24" s="1"/>
  <c r="B177" i="24"/>
  <c r="A177" i="24"/>
  <c r="F172" i="24"/>
  <c r="H171" i="24"/>
  <c r="F171" i="24"/>
  <c r="G171" i="24" s="1"/>
  <c r="G172" i="24" s="1"/>
  <c r="E171" i="24"/>
  <c r="E167" i="24"/>
  <c r="F167" i="24" s="1"/>
  <c r="G167" i="24" s="1"/>
  <c r="H167" i="24" s="1"/>
  <c r="I167" i="24" s="1"/>
  <c r="J167" i="24" s="1"/>
  <c r="K167" i="24" s="1"/>
  <c r="L167" i="24" s="1"/>
  <c r="M167" i="24" s="1"/>
  <c r="M166" i="24"/>
  <c r="H166" i="24"/>
  <c r="B166" i="24"/>
  <c r="A166" i="24"/>
  <c r="M163" i="24"/>
  <c r="M164" i="24" s="1"/>
  <c r="G163" i="24"/>
  <c r="H163" i="24" s="1"/>
  <c r="I163" i="24" s="1"/>
  <c r="J163" i="24" s="1"/>
  <c r="K163" i="24" s="1"/>
  <c r="L163" i="24" s="1"/>
  <c r="F163" i="24"/>
  <c r="E163" i="24"/>
  <c r="M162" i="24"/>
  <c r="L162" i="24"/>
  <c r="K162" i="24"/>
  <c r="K164" i="24" s="1"/>
  <c r="J162" i="24"/>
  <c r="J164" i="24" s="1"/>
  <c r="I162" i="24"/>
  <c r="I164" i="24" s="1"/>
  <c r="H162" i="24"/>
  <c r="H164" i="24" s="1"/>
  <c r="G162" i="24"/>
  <c r="G164" i="24" s="1"/>
  <c r="F162" i="24"/>
  <c r="F164" i="24" s="1"/>
  <c r="E162" i="24"/>
  <c r="E164" i="24" s="1"/>
  <c r="D162" i="24"/>
  <c r="B162" i="24"/>
  <c r="A162" i="24"/>
  <c r="M156" i="24"/>
  <c r="F156" i="24"/>
  <c r="E156" i="24"/>
  <c r="D156" i="24"/>
  <c r="G155" i="24"/>
  <c r="H155" i="24" s="1"/>
  <c r="H156" i="24" s="1"/>
  <c r="F155" i="24"/>
  <c r="E155" i="24"/>
  <c r="M153" i="24"/>
  <c r="H153" i="24"/>
  <c r="G153" i="24"/>
  <c r="D153" i="24"/>
  <c r="M151" i="24"/>
  <c r="L151" i="24"/>
  <c r="L153" i="24" s="1"/>
  <c r="K151" i="24"/>
  <c r="K153" i="24" s="1"/>
  <c r="J151" i="24"/>
  <c r="J153" i="24" s="1"/>
  <c r="I151" i="24"/>
  <c r="I153" i="24" s="1"/>
  <c r="H151" i="24"/>
  <c r="G151" i="24"/>
  <c r="F151" i="24"/>
  <c r="F153" i="24" s="1"/>
  <c r="E151" i="24"/>
  <c r="D151" i="24"/>
  <c r="B151" i="24"/>
  <c r="A151" i="24"/>
  <c r="E149" i="24"/>
  <c r="D149" i="24"/>
  <c r="G148" i="24"/>
  <c r="H148" i="24" s="1"/>
  <c r="M147" i="24"/>
  <c r="L147" i="24"/>
  <c r="K147" i="24"/>
  <c r="J147" i="24"/>
  <c r="I147" i="24"/>
  <c r="H147" i="24"/>
  <c r="G147" i="24"/>
  <c r="G149" i="24" s="1"/>
  <c r="F147" i="24"/>
  <c r="F149" i="24" s="1"/>
  <c r="F158" i="24" s="1"/>
  <c r="E147" i="24"/>
  <c r="D147" i="24"/>
  <c r="B147" i="24"/>
  <c r="A147" i="24"/>
  <c r="D139" i="24"/>
  <c r="C139" i="24"/>
  <c r="B139" i="24"/>
  <c r="A139" i="24"/>
  <c r="D126" i="24"/>
  <c r="D127" i="24" s="1"/>
  <c r="B126" i="24"/>
  <c r="A126" i="24"/>
  <c r="D122" i="24"/>
  <c r="E122" i="24" s="1"/>
  <c r="F122" i="24" s="1"/>
  <c r="G122" i="24" s="1"/>
  <c r="H122" i="24" s="1"/>
  <c r="I122" i="24" s="1"/>
  <c r="J122" i="24" s="1"/>
  <c r="K122" i="24" s="1"/>
  <c r="L122" i="24" s="1"/>
  <c r="M122" i="24" s="1"/>
  <c r="F108" i="24"/>
  <c r="G108" i="24" s="1"/>
  <c r="H108" i="24" s="1"/>
  <c r="I108" i="24" s="1"/>
  <c r="J108" i="24" s="1"/>
  <c r="K108" i="24" s="1"/>
  <c r="L108" i="24" s="1"/>
  <c r="M108" i="24" s="1"/>
  <c r="E108" i="24"/>
  <c r="C106" i="24"/>
  <c r="M102" i="24"/>
  <c r="L102" i="24"/>
  <c r="K102" i="24"/>
  <c r="J102" i="24"/>
  <c r="I102" i="24"/>
  <c r="H102" i="24"/>
  <c r="G102" i="24"/>
  <c r="F102" i="24"/>
  <c r="E102" i="24"/>
  <c r="D102" i="24"/>
  <c r="C101" i="24"/>
  <c r="C100" i="24"/>
  <c r="C99" i="24"/>
  <c r="C98" i="24"/>
  <c r="C97" i="24"/>
  <c r="C96" i="24"/>
  <c r="C94" i="24"/>
  <c r="D90" i="24"/>
  <c r="C90" i="24"/>
  <c r="B90" i="24"/>
  <c r="A90" i="24"/>
  <c r="M85" i="24"/>
  <c r="L85" i="24"/>
  <c r="E85" i="24"/>
  <c r="D84" i="24"/>
  <c r="B84" i="24"/>
  <c r="A84" i="24"/>
  <c r="D80" i="24"/>
  <c r="D81" i="24" s="1"/>
  <c r="B80" i="24"/>
  <c r="A80" i="24"/>
  <c r="M76" i="24"/>
  <c r="L76" i="24"/>
  <c r="E76" i="24"/>
  <c r="D75" i="24"/>
  <c r="B75" i="24"/>
  <c r="A75" i="24"/>
  <c r="M72" i="24"/>
  <c r="J72" i="24"/>
  <c r="I72" i="24"/>
  <c r="I166" i="24" s="1"/>
  <c r="H72" i="24"/>
  <c r="G72" i="24"/>
  <c r="G166" i="24" s="1"/>
  <c r="G168" i="24" s="1"/>
  <c r="F72" i="24"/>
  <c r="F109" i="24" s="1"/>
  <c r="F111" i="24" s="1"/>
  <c r="F113" i="24" s="1"/>
  <c r="E72" i="24"/>
  <c r="D76" i="24" s="1"/>
  <c r="D72" i="24"/>
  <c r="D109" i="24" s="1"/>
  <c r="L71" i="24"/>
  <c r="L72" i="24" s="1"/>
  <c r="K71" i="24"/>
  <c r="K72" i="24" s="1"/>
  <c r="I71" i="24"/>
  <c r="J71" i="24" s="1"/>
  <c r="M70" i="24"/>
  <c r="L70" i="24"/>
  <c r="K70" i="24"/>
  <c r="J70" i="24"/>
  <c r="I70" i="24"/>
  <c r="H70" i="24"/>
  <c r="G70" i="24"/>
  <c r="F70" i="24"/>
  <c r="E70" i="24"/>
  <c r="D70" i="24"/>
  <c r="C68" i="24"/>
  <c r="C67" i="24"/>
  <c r="D63" i="24"/>
  <c r="C63" i="24"/>
  <c r="B63" i="24"/>
  <c r="A63" i="24"/>
  <c r="B20" i="24"/>
  <c r="A20" i="24"/>
  <c r="B19" i="24"/>
  <c r="A19" i="24"/>
  <c r="B18" i="24"/>
  <c r="A18" i="24"/>
  <c r="B17" i="24"/>
  <c r="A17" i="24"/>
  <c r="B16" i="24"/>
  <c r="A16" i="24"/>
  <c r="B14" i="24"/>
  <c r="A14" i="24"/>
  <c r="B13" i="24"/>
  <c r="A13" i="24"/>
  <c r="B11" i="24"/>
  <c r="A11" i="24"/>
  <c r="B10" i="24"/>
  <c r="A10" i="24"/>
  <c r="B8" i="24"/>
  <c r="A8" i="24"/>
  <c r="A7" i="24"/>
  <c r="A6" i="24"/>
  <c r="B5" i="24"/>
  <c r="A5" i="24"/>
  <c r="A1" i="24"/>
  <c r="C8" i="9"/>
  <c r="C7" i="9"/>
  <c r="I71" i="23"/>
  <c r="J71" i="23" s="1"/>
  <c r="K71" i="23" s="1"/>
  <c r="L71" i="23" s="1"/>
  <c r="M70" i="23"/>
  <c r="L70" i="23"/>
  <c r="K70" i="23"/>
  <c r="J70" i="23"/>
  <c r="I70" i="23"/>
  <c r="H70" i="23"/>
  <c r="G70" i="23"/>
  <c r="F70" i="23"/>
  <c r="E70" i="23"/>
  <c r="D70" i="23"/>
  <c r="C70" i="23" s="1"/>
  <c r="C69" i="23" s="1"/>
  <c r="G280" i="23"/>
  <c r="B280" i="23"/>
  <c r="A280" i="23"/>
  <c r="F279" i="23"/>
  <c r="B279" i="23"/>
  <c r="A279" i="23"/>
  <c r="B278" i="23"/>
  <c r="A278" i="23"/>
  <c r="G277" i="23"/>
  <c r="G282" i="23" s="1"/>
  <c r="B277" i="23"/>
  <c r="A277" i="23"/>
  <c r="D276" i="23"/>
  <c r="C276" i="23"/>
  <c r="B276" i="23"/>
  <c r="A276" i="23"/>
  <c r="D273" i="23"/>
  <c r="C273" i="23"/>
  <c r="B273" i="23"/>
  <c r="A273" i="23"/>
  <c r="D261" i="23"/>
  <c r="D262" i="23" s="1"/>
  <c r="B261" i="23"/>
  <c r="A261" i="23"/>
  <c r="B252" i="23"/>
  <c r="A252" i="23"/>
  <c r="B251" i="23"/>
  <c r="A251" i="23"/>
  <c r="B250" i="23"/>
  <c r="A250" i="23"/>
  <c r="B249" i="23"/>
  <c r="A249" i="23"/>
  <c r="D246" i="23"/>
  <c r="C246" i="23"/>
  <c r="B246" i="23"/>
  <c r="A246" i="23"/>
  <c r="D236" i="23"/>
  <c r="B236" i="23"/>
  <c r="A236" i="23"/>
  <c r="B233" i="23"/>
  <c r="A233" i="23"/>
  <c r="B232" i="23"/>
  <c r="A232" i="23"/>
  <c r="B231" i="23"/>
  <c r="A231" i="23"/>
  <c r="B229" i="23"/>
  <c r="A229" i="23"/>
  <c r="D218" i="23"/>
  <c r="B218" i="23"/>
  <c r="A218" i="23"/>
  <c r="B217" i="23"/>
  <c r="A217" i="23"/>
  <c r="D213" i="23"/>
  <c r="C213" i="23"/>
  <c r="B213" i="23"/>
  <c r="A213" i="23"/>
  <c r="A204" i="23"/>
  <c r="F201" i="23"/>
  <c r="G201" i="23" s="1"/>
  <c r="H201" i="23" s="1"/>
  <c r="I201" i="23" s="1"/>
  <c r="J201" i="23" s="1"/>
  <c r="K201" i="23" s="1"/>
  <c r="L201" i="23" s="1"/>
  <c r="M201" i="23" s="1"/>
  <c r="E201" i="23"/>
  <c r="F198" i="23"/>
  <c r="G198" i="23" s="1"/>
  <c r="H198" i="23" s="1"/>
  <c r="I198" i="23" s="1"/>
  <c r="I199" i="23" s="1"/>
  <c r="E198" i="23"/>
  <c r="M197" i="23"/>
  <c r="L197" i="23"/>
  <c r="K197" i="23"/>
  <c r="J197" i="23"/>
  <c r="I197" i="23"/>
  <c r="J202" i="23" s="1"/>
  <c r="H197" i="23"/>
  <c r="I202" i="23" s="1"/>
  <c r="G197" i="23"/>
  <c r="F197" i="23"/>
  <c r="E197" i="23"/>
  <c r="F202" i="23" s="1"/>
  <c r="D197" i="23"/>
  <c r="B197" i="23"/>
  <c r="A197" i="23"/>
  <c r="M196" i="23"/>
  <c r="L196" i="23"/>
  <c r="K196" i="23"/>
  <c r="J196" i="23"/>
  <c r="I196" i="23"/>
  <c r="H196" i="23"/>
  <c r="H199" i="23" s="1"/>
  <c r="G196" i="23"/>
  <c r="G199" i="23" s="1"/>
  <c r="F196" i="23"/>
  <c r="E196" i="23"/>
  <c r="E199" i="23" s="1"/>
  <c r="D196" i="23"/>
  <c r="D199" i="23" s="1"/>
  <c r="B196" i="23"/>
  <c r="A196" i="23"/>
  <c r="A192" i="23"/>
  <c r="E191" i="23"/>
  <c r="F191" i="23" s="1"/>
  <c r="G191" i="23" s="1"/>
  <c r="H191" i="23" s="1"/>
  <c r="I191" i="23" s="1"/>
  <c r="J191" i="23" s="1"/>
  <c r="K191" i="23" s="1"/>
  <c r="L191" i="23" s="1"/>
  <c r="M191" i="23" s="1"/>
  <c r="B190" i="23"/>
  <c r="A190" i="23"/>
  <c r="E182" i="23"/>
  <c r="F182" i="23" s="1"/>
  <c r="G182" i="23" s="1"/>
  <c r="H182" i="23" s="1"/>
  <c r="I182" i="23" s="1"/>
  <c r="J182" i="23" s="1"/>
  <c r="E179" i="23"/>
  <c r="F179" i="23" s="1"/>
  <c r="M177" i="23"/>
  <c r="M183" i="23" s="1"/>
  <c r="L177" i="23"/>
  <c r="K177" i="23"/>
  <c r="J177" i="23"/>
  <c r="I177" i="23"/>
  <c r="H177" i="23"/>
  <c r="G177" i="23"/>
  <c r="F177" i="23"/>
  <c r="F183" i="23" s="1"/>
  <c r="E177" i="23"/>
  <c r="E183" i="23" s="1"/>
  <c r="D177" i="23"/>
  <c r="D180" i="23" s="1"/>
  <c r="B177" i="23"/>
  <c r="A177" i="23"/>
  <c r="E171" i="23"/>
  <c r="F171" i="23" s="1"/>
  <c r="G171" i="23" s="1"/>
  <c r="H171" i="23" s="1"/>
  <c r="I167" i="23"/>
  <c r="J167" i="23" s="1"/>
  <c r="K167" i="23" s="1"/>
  <c r="L167" i="23" s="1"/>
  <c r="M167" i="23" s="1"/>
  <c r="E167" i="23"/>
  <c r="F167" i="23" s="1"/>
  <c r="G167" i="23" s="1"/>
  <c r="H167" i="23" s="1"/>
  <c r="B166" i="23"/>
  <c r="A166" i="23"/>
  <c r="E163" i="23"/>
  <c r="F163" i="23" s="1"/>
  <c r="G163" i="23" s="1"/>
  <c r="H163" i="23" s="1"/>
  <c r="I163" i="23" s="1"/>
  <c r="J163" i="23" s="1"/>
  <c r="K163" i="23" s="1"/>
  <c r="L163" i="23" s="1"/>
  <c r="L164" i="23" s="1"/>
  <c r="M162" i="23"/>
  <c r="L162" i="23"/>
  <c r="K162" i="23"/>
  <c r="J162" i="23"/>
  <c r="I162" i="23"/>
  <c r="H162" i="23"/>
  <c r="G162" i="23"/>
  <c r="F162" i="23"/>
  <c r="E162" i="23"/>
  <c r="D162" i="23"/>
  <c r="D164" i="23" s="1"/>
  <c r="B162" i="23"/>
  <c r="A162" i="23"/>
  <c r="M156" i="23"/>
  <c r="H156" i="23"/>
  <c r="G156" i="23"/>
  <c r="F156" i="23"/>
  <c r="E156" i="23"/>
  <c r="D156" i="23"/>
  <c r="G155" i="23"/>
  <c r="H155" i="23" s="1"/>
  <c r="I155" i="23" s="1"/>
  <c r="F155" i="23"/>
  <c r="E155" i="23"/>
  <c r="M153" i="23"/>
  <c r="L153" i="23"/>
  <c r="I153" i="23"/>
  <c r="E153" i="23"/>
  <c r="M151" i="23"/>
  <c r="L151" i="23"/>
  <c r="K151" i="23"/>
  <c r="K153" i="23" s="1"/>
  <c r="J151" i="23"/>
  <c r="J153" i="23" s="1"/>
  <c r="I151" i="23"/>
  <c r="H151" i="23"/>
  <c r="H153" i="23" s="1"/>
  <c r="G151" i="23"/>
  <c r="G153" i="23" s="1"/>
  <c r="F151" i="23"/>
  <c r="F153" i="23" s="1"/>
  <c r="E151" i="23"/>
  <c r="D151" i="23"/>
  <c r="D153" i="23" s="1"/>
  <c r="B151" i="23"/>
  <c r="A151" i="23"/>
  <c r="G149" i="23"/>
  <c r="F149" i="23"/>
  <c r="H148" i="23"/>
  <c r="I148" i="23" s="1"/>
  <c r="J148" i="23" s="1"/>
  <c r="K148" i="23" s="1"/>
  <c r="G148" i="23"/>
  <c r="M147" i="23"/>
  <c r="L147" i="23"/>
  <c r="K147" i="23"/>
  <c r="J147" i="23"/>
  <c r="I147" i="23"/>
  <c r="I149" i="23" s="1"/>
  <c r="H147" i="23"/>
  <c r="H149" i="23" s="1"/>
  <c r="G147" i="23"/>
  <c r="F147" i="23"/>
  <c r="E147" i="23"/>
  <c r="D147" i="23"/>
  <c r="D149" i="23" s="1"/>
  <c r="B147" i="23"/>
  <c r="A147" i="23"/>
  <c r="D139" i="23"/>
  <c r="C139" i="23"/>
  <c r="B139" i="23"/>
  <c r="A139" i="23"/>
  <c r="D126" i="23"/>
  <c r="D127" i="23" s="1"/>
  <c r="B126" i="23"/>
  <c r="A126" i="23"/>
  <c r="G122" i="23"/>
  <c r="H122" i="23" s="1"/>
  <c r="I122" i="23" s="1"/>
  <c r="J122" i="23" s="1"/>
  <c r="K122" i="23" s="1"/>
  <c r="L122" i="23" s="1"/>
  <c r="M122" i="23" s="1"/>
  <c r="D122" i="23"/>
  <c r="E122" i="23" s="1"/>
  <c r="F122" i="23" s="1"/>
  <c r="D109" i="23"/>
  <c r="D111" i="23" s="1"/>
  <c r="F108" i="23"/>
  <c r="G108" i="23" s="1"/>
  <c r="H108" i="23" s="1"/>
  <c r="I108" i="23" s="1"/>
  <c r="J108" i="23" s="1"/>
  <c r="K108" i="23" s="1"/>
  <c r="L108" i="23" s="1"/>
  <c r="M108" i="23" s="1"/>
  <c r="E108" i="23"/>
  <c r="C106" i="23"/>
  <c r="M102" i="23"/>
  <c r="L102" i="23"/>
  <c r="K102" i="23"/>
  <c r="J102" i="23"/>
  <c r="I102" i="23"/>
  <c r="H102" i="23"/>
  <c r="G102" i="23"/>
  <c r="F102" i="23"/>
  <c r="E102" i="23"/>
  <c r="D102" i="23"/>
  <c r="C101" i="23"/>
  <c r="C100" i="23"/>
  <c r="C99" i="23"/>
  <c r="C98" i="23"/>
  <c r="C97" i="23"/>
  <c r="C96" i="23"/>
  <c r="C94" i="23"/>
  <c r="D90" i="23"/>
  <c r="C90" i="23"/>
  <c r="B90" i="23"/>
  <c r="A90" i="23"/>
  <c r="M85" i="23"/>
  <c r="D84" i="23"/>
  <c r="B84" i="23"/>
  <c r="A84" i="23"/>
  <c r="D80" i="23"/>
  <c r="D81" i="23" s="1"/>
  <c r="B80" i="23"/>
  <c r="A80" i="23"/>
  <c r="M76" i="23"/>
  <c r="D75" i="23"/>
  <c r="B75" i="23"/>
  <c r="A75" i="23"/>
  <c r="M72" i="23"/>
  <c r="L76" i="23" s="1"/>
  <c r="H72" i="23"/>
  <c r="H166" i="23" s="1"/>
  <c r="H168" i="23" s="1"/>
  <c r="G72" i="23"/>
  <c r="F72" i="23"/>
  <c r="F210" i="23" s="1"/>
  <c r="E72" i="23"/>
  <c r="D85" i="23" s="1"/>
  <c r="D72" i="23"/>
  <c r="D166" i="23" s="1"/>
  <c r="D168" i="23" s="1"/>
  <c r="C68" i="23"/>
  <c r="C67" i="23"/>
  <c r="D63" i="23"/>
  <c r="C63" i="23"/>
  <c r="B63" i="23"/>
  <c r="A63" i="23"/>
  <c r="B20" i="23"/>
  <c r="A20" i="23"/>
  <c r="B19" i="23"/>
  <c r="A19" i="23"/>
  <c r="B18" i="23"/>
  <c r="A18" i="23"/>
  <c r="B17" i="23"/>
  <c r="A17" i="23"/>
  <c r="B16" i="23"/>
  <c r="A16" i="23"/>
  <c r="B14" i="23"/>
  <c r="A14" i="23"/>
  <c r="B13" i="23"/>
  <c r="A13" i="23"/>
  <c r="B11" i="23"/>
  <c r="A11" i="23"/>
  <c r="B10" i="23"/>
  <c r="A10" i="23"/>
  <c r="B8" i="23"/>
  <c r="A8" i="23"/>
  <c r="A7" i="23"/>
  <c r="A6" i="23"/>
  <c r="B5" i="23"/>
  <c r="A5" i="23"/>
  <c r="A1" i="23"/>
  <c r="B20" i="16"/>
  <c r="B19" i="16"/>
  <c r="B18" i="16"/>
  <c r="B17" i="16"/>
  <c r="B16" i="16"/>
  <c r="B14" i="16"/>
  <c r="B13" i="16"/>
  <c r="B11" i="16"/>
  <c r="B10" i="16"/>
  <c r="A20" i="16"/>
  <c r="A19" i="16"/>
  <c r="A18" i="16"/>
  <c r="A17" i="16"/>
  <c r="A16" i="16"/>
  <c r="A14" i="16"/>
  <c r="A13" i="16"/>
  <c r="A11" i="16"/>
  <c r="A10" i="16"/>
  <c r="A1" i="16"/>
  <c r="D246" i="16"/>
  <c r="C246" i="16"/>
  <c r="B246" i="16"/>
  <c r="A246" i="16"/>
  <c r="D213" i="16"/>
  <c r="C213" i="16"/>
  <c r="B213" i="16"/>
  <c r="A213" i="16"/>
  <c r="K70" i="16"/>
  <c r="L70" i="16"/>
  <c r="A190" i="16"/>
  <c r="D139" i="16"/>
  <c r="C139" i="16"/>
  <c r="B139" i="16"/>
  <c r="A139" i="16"/>
  <c r="B249" i="16"/>
  <c r="A249" i="16"/>
  <c r="B217" i="16"/>
  <c r="A217" i="16"/>
  <c r="B229" i="16"/>
  <c r="A229" i="16"/>
  <c r="D90" i="16"/>
  <c r="C90" i="16"/>
  <c r="B90" i="16"/>
  <c r="A90" i="16"/>
  <c r="B190" i="16"/>
  <c r="B251" i="16"/>
  <c r="B231" i="16"/>
  <c r="A231" i="16"/>
  <c r="A3" i="9"/>
  <c r="A1" i="9"/>
  <c r="A17" i="20"/>
  <c r="A28" i="20" s="1"/>
  <c r="C14" i="9" l="1"/>
  <c r="M86" i="24"/>
  <c r="M77" i="23"/>
  <c r="D133" i="24"/>
  <c r="D136" i="24" s="1"/>
  <c r="D232" i="24" s="1"/>
  <c r="D88" i="24"/>
  <c r="D277" i="24" s="1"/>
  <c r="M77" i="24"/>
  <c r="E77" i="24"/>
  <c r="H172" i="24"/>
  <c r="C72" i="24"/>
  <c r="K202" i="24"/>
  <c r="H202" i="24"/>
  <c r="L164" i="24"/>
  <c r="I199" i="24"/>
  <c r="I204" i="24" s="1"/>
  <c r="F250" i="24"/>
  <c r="F278" i="24"/>
  <c r="D111" i="24"/>
  <c r="D113" i="24" s="1"/>
  <c r="I168" i="24"/>
  <c r="J166" i="24"/>
  <c r="J168" i="24" s="1"/>
  <c r="M202" i="24"/>
  <c r="M210" i="24"/>
  <c r="M211" i="24"/>
  <c r="M172" i="24"/>
  <c r="M109" i="24"/>
  <c r="M111" i="24" s="1"/>
  <c r="C162" i="24"/>
  <c r="D164" i="24"/>
  <c r="M199" i="24"/>
  <c r="C102" i="24"/>
  <c r="C147" i="24"/>
  <c r="I183" i="24"/>
  <c r="J183" i="24"/>
  <c r="G158" i="24"/>
  <c r="I155" i="24"/>
  <c r="C153" i="24"/>
  <c r="E174" i="24"/>
  <c r="K166" i="24"/>
  <c r="K168" i="24" s="1"/>
  <c r="J76" i="24"/>
  <c r="F174" i="24"/>
  <c r="C70" i="24"/>
  <c r="C69" i="24" s="1"/>
  <c r="L166" i="24"/>
  <c r="L168" i="24" s="1"/>
  <c r="K76" i="24"/>
  <c r="L77" i="24" s="1"/>
  <c r="L109" i="24"/>
  <c r="L111" i="24" s="1"/>
  <c r="L113" i="24" s="1"/>
  <c r="M113" i="24"/>
  <c r="G174" i="24"/>
  <c r="C177" i="24"/>
  <c r="H179" i="24"/>
  <c r="I179" i="24" s="1"/>
  <c r="J179" i="24" s="1"/>
  <c r="K179" i="24" s="1"/>
  <c r="G180" i="24"/>
  <c r="G185" i="24" s="1"/>
  <c r="C196" i="24"/>
  <c r="C197" i="24"/>
  <c r="E153" i="24"/>
  <c r="E158" i="24" s="1"/>
  <c r="C151" i="24"/>
  <c r="D185" i="24"/>
  <c r="D210" i="24"/>
  <c r="D211" i="24"/>
  <c r="D172" i="24"/>
  <c r="D166" i="24"/>
  <c r="I171" i="24"/>
  <c r="E185" i="24"/>
  <c r="F204" i="24"/>
  <c r="G202" i="24"/>
  <c r="G204" i="24" s="1"/>
  <c r="E211" i="24"/>
  <c r="E172" i="24"/>
  <c r="E109" i="24"/>
  <c r="E111" i="24" s="1"/>
  <c r="E113" i="24" s="1"/>
  <c r="D85" i="24"/>
  <c r="E86" i="24" s="1"/>
  <c r="E166" i="24"/>
  <c r="E168" i="24" s="1"/>
  <c r="I148" i="24"/>
  <c r="J148" i="24" s="1"/>
  <c r="K148" i="24" s="1"/>
  <c r="L148" i="24" s="1"/>
  <c r="M148" i="24" s="1"/>
  <c r="M149" i="24" s="1"/>
  <c r="M158" i="24" s="1"/>
  <c r="H149" i="24"/>
  <c r="H158" i="24" s="1"/>
  <c r="J199" i="24"/>
  <c r="J204" i="24" s="1"/>
  <c r="H204" i="24"/>
  <c r="H168" i="24"/>
  <c r="H174" i="24" s="1"/>
  <c r="L182" i="24"/>
  <c r="K183" i="24"/>
  <c r="K199" i="24"/>
  <c r="K204" i="24" s="1"/>
  <c r="M168" i="24"/>
  <c r="M174" i="24" s="1"/>
  <c r="E210" i="24"/>
  <c r="L199" i="24"/>
  <c r="E202" i="24"/>
  <c r="H183" i="24"/>
  <c r="D158" i="24"/>
  <c r="F166" i="24"/>
  <c r="F168" i="24" s="1"/>
  <c r="G282" i="24"/>
  <c r="G283" i="24" s="1"/>
  <c r="G156" i="24"/>
  <c r="L202" i="24"/>
  <c r="G172" i="23"/>
  <c r="G164" i="23"/>
  <c r="C153" i="23"/>
  <c r="I72" i="23"/>
  <c r="D172" i="23"/>
  <c r="D174" i="23" s="1"/>
  <c r="F211" i="23"/>
  <c r="F172" i="23"/>
  <c r="I204" i="23"/>
  <c r="E85" i="23"/>
  <c r="E86" i="23" s="1"/>
  <c r="F166" i="23"/>
  <c r="F168" i="23" s="1"/>
  <c r="E109" i="23"/>
  <c r="E111" i="23" s="1"/>
  <c r="E113" i="23" s="1"/>
  <c r="G166" i="23"/>
  <c r="F109" i="23"/>
  <c r="F111" i="23" s="1"/>
  <c r="F113" i="23" s="1"/>
  <c r="D183" i="23"/>
  <c r="D185" i="23" s="1"/>
  <c r="C151" i="23"/>
  <c r="C197" i="23"/>
  <c r="D76" i="23"/>
  <c r="E76" i="23"/>
  <c r="D211" i="23"/>
  <c r="I171" i="23"/>
  <c r="J171" i="23" s="1"/>
  <c r="K171" i="23" s="1"/>
  <c r="L171" i="23" s="1"/>
  <c r="M171" i="23" s="1"/>
  <c r="H172" i="23"/>
  <c r="L148" i="23"/>
  <c r="M148" i="23" s="1"/>
  <c r="K149" i="23"/>
  <c r="I156" i="23"/>
  <c r="I158" i="23" s="1"/>
  <c r="J155" i="23"/>
  <c r="K182" i="23"/>
  <c r="J183" i="23"/>
  <c r="L149" i="23"/>
  <c r="F158" i="23"/>
  <c r="K164" i="23"/>
  <c r="H158" i="23"/>
  <c r="G158" i="23"/>
  <c r="K202" i="23"/>
  <c r="L202" i="23"/>
  <c r="J149" i="23"/>
  <c r="M202" i="23"/>
  <c r="E172" i="23"/>
  <c r="E166" i="23"/>
  <c r="E168" i="23" s="1"/>
  <c r="E210" i="23"/>
  <c r="E211" i="23"/>
  <c r="G183" i="23"/>
  <c r="C177" i="23"/>
  <c r="H202" i="23"/>
  <c r="H204" i="23" s="1"/>
  <c r="M149" i="23"/>
  <c r="M158" i="23" s="1"/>
  <c r="E164" i="23"/>
  <c r="C162" i="23"/>
  <c r="M163" i="23"/>
  <c r="M164" i="23" s="1"/>
  <c r="D204" i="23"/>
  <c r="J198" i="23"/>
  <c r="H164" i="23"/>
  <c r="H174" i="23" s="1"/>
  <c r="I166" i="23"/>
  <c r="I168" i="23" s="1"/>
  <c r="D133" i="23"/>
  <c r="D88" i="23"/>
  <c r="C147" i="23"/>
  <c r="D158" i="23"/>
  <c r="I164" i="23"/>
  <c r="M210" i="23"/>
  <c r="M172" i="23"/>
  <c r="M109" i="23"/>
  <c r="M111" i="23" s="1"/>
  <c r="M113" i="23" s="1"/>
  <c r="M166" i="23"/>
  <c r="M168" i="23" s="1"/>
  <c r="M211" i="23"/>
  <c r="L85" i="23"/>
  <c r="E149" i="23"/>
  <c r="E158" i="23" s="1"/>
  <c r="J164" i="23"/>
  <c r="G179" i="23"/>
  <c r="F180" i="23"/>
  <c r="F185" i="23" s="1"/>
  <c r="F199" i="23"/>
  <c r="F204" i="23" s="1"/>
  <c r="E180" i="23"/>
  <c r="E185" i="23" s="1"/>
  <c r="C102" i="23"/>
  <c r="D113" i="23"/>
  <c r="G202" i="23"/>
  <c r="G204" i="23" s="1"/>
  <c r="F164" i="23"/>
  <c r="H183" i="23"/>
  <c r="I183" i="23"/>
  <c r="G168" i="23"/>
  <c r="G174" i="23" s="1"/>
  <c r="D210" i="23"/>
  <c r="C196" i="23"/>
  <c r="E202" i="23"/>
  <c r="E204" i="23" s="1"/>
  <c r="G281" i="23"/>
  <c r="G283" i="23" s="1"/>
  <c r="E77" i="23" l="1"/>
  <c r="D249" i="24"/>
  <c r="D229" i="24"/>
  <c r="D217" i="24"/>
  <c r="D219" i="24" s="1"/>
  <c r="D190" i="24"/>
  <c r="D192" i="24" s="1"/>
  <c r="K77" i="24"/>
  <c r="M204" i="24"/>
  <c r="D128" i="24"/>
  <c r="D250" i="24"/>
  <c r="D278" i="24"/>
  <c r="K180" i="24"/>
  <c r="K185" i="24" s="1"/>
  <c r="L179" i="24"/>
  <c r="E250" i="24"/>
  <c r="E278" i="24"/>
  <c r="L149" i="24"/>
  <c r="M250" i="24"/>
  <c r="M278" i="24"/>
  <c r="M182" i="24"/>
  <c r="L183" i="24"/>
  <c r="C183" i="24" s="1"/>
  <c r="L250" i="24"/>
  <c r="L278" i="24"/>
  <c r="L204" i="24"/>
  <c r="I180" i="24"/>
  <c r="I185" i="24" s="1"/>
  <c r="D168" i="24"/>
  <c r="C168" i="24" s="1"/>
  <c r="C166" i="24"/>
  <c r="I156" i="24"/>
  <c r="J155" i="24"/>
  <c r="C202" i="24"/>
  <c r="I109" i="24"/>
  <c r="I111" i="24" s="1"/>
  <c r="I113" i="24" s="1"/>
  <c r="K109" i="24"/>
  <c r="K111" i="24" s="1"/>
  <c r="K113" i="24" s="1"/>
  <c r="J109" i="24"/>
  <c r="J111" i="24" s="1"/>
  <c r="J113" i="24" s="1"/>
  <c r="H109" i="24"/>
  <c r="H111" i="24" s="1"/>
  <c r="H113" i="24" s="1"/>
  <c r="G109" i="24"/>
  <c r="D233" i="24"/>
  <c r="H180" i="24"/>
  <c r="C199" i="24"/>
  <c r="E204" i="24"/>
  <c r="J180" i="24"/>
  <c r="J185" i="24" s="1"/>
  <c r="J149" i="24"/>
  <c r="C164" i="24"/>
  <c r="J171" i="24"/>
  <c r="I172" i="24"/>
  <c r="C71" i="24"/>
  <c r="K149" i="24"/>
  <c r="I149" i="24"/>
  <c r="F174" i="23"/>
  <c r="C149" i="23"/>
  <c r="F250" i="23"/>
  <c r="F278" i="23"/>
  <c r="D249" i="23"/>
  <c r="D277" i="23"/>
  <c r="D217" i="23"/>
  <c r="D229" i="23"/>
  <c r="D190" i="23"/>
  <c r="C202" i="23"/>
  <c r="D278" i="23"/>
  <c r="D250" i="23"/>
  <c r="D128" i="23"/>
  <c r="H109" i="23"/>
  <c r="H111" i="23" s="1"/>
  <c r="H113" i="23" s="1"/>
  <c r="I109" i="23"/>
  <c r="I111" i="23" s="1"/>
  <c r="I113" i="23" s="1"/>
  <c r="G109" i="23"/>
  <c r="I172" i="23"/>
  <c r="I174" i="23" s="1"/>
  <c r="J72" i="23"/>
  <c r="M278" i="23"/>
  <c r="M250" i="23"/>
  <c r="E278" i="23"/>
  <c r="E250" i="23"/>
  <c r="E174" i="23"/>
  <c r="C164" i="23"/>
  <c r="M86" i="23"/>
  <c r="L182" i="23"/>
  <c r="K183" i="23"/>
  <c r="K198" i="23"/>
  <c r="J199" i="23"/>
  <c r="J204" i="23" s="1"/>
  <c r="H179" i="23"/>
  <c r="G180" i="23"/>
  <c r="G185" i="23" s="1"/>
  <c r="M174" i="23"/>
  <c r="D136" i="23"/>
  <c r="K155" i="23"/>
  <c r="J156" i="23"/>
  <c r="J158" i="23" s="1"/>
  <c r="D261" i="16"/>
  <c r="B261" i="16"/>
  <c r="A261" i="16"/>
  <c r="E45" i="9"/>
  <c r="D236" i="16"/>
  <c r="B236" i="16"/>
  <c r="A236" i="16"/>
  <c r="D218" i="16"/>
  <c r="B218" i="16"/>
  <c r="A218" i="16"/>
  <c r="D126" i="16"/>
  <c r="B126" i="16"/>
  <c r="A126" i="16"/>
  <c r="D276" i="16"/>
  <c r="C276" i="16"/>
  <c r="B276" i="16"/>
  <c r="A276" i="16"/>
  <c r="D273" i="16"/>
  <c r="C273" i="16"/>
  <c r="B273" i="16"/>
  <c r="A273" i="16"/>
  <c r="D63" i="16"/>
  <c r="C63" i="16"/>
  <c r="B63" i="16"/>
  <c r="A63" i="16"/>
  <c r="D80" i="16"/>
  <c r="B80" i="16"/>
  <c r="A80" i="16"/>
  <c r="D84" i="16"/>
  <c r="B84" i="16"/>
  <c r="A84" i="16"/>
  <c r="D75" i="16"/>
  <c r="B75" i="16"/>
  <c r="A75" i="16"/>
  <c r="E37" i="9"/>
  <c r="E35" i="9"/>
  <c r="E33" i="9"/>
  <c r="E42" i="9"/>
  <c r="E41" i="9"/>
  <c r="E32" i="9"/>
  <c r="E31" i="9"/>
  <c r="E28" i="9"/>
  <c r="E80" i="23" l="1"/>
  <c r="E81" i="23" s="1"/>
  <c r="E88" i="23" s="1"/>
  <c r="E80" i="24"/>
  <c r="E81" i="24" s="1"/>
  <c r="E246" i="23"/>
  <c r="E63" i="23"/>
  <c r="E246" i="24"/>
  <c r="E276" i="23"/>
  <c r="E246" i="16"/>
  <c r="E90" i="16"/>
  <c r="E213" i="24"/>
  <c r="E273" i="23"/>
  <c r="E213" i="16"/>
  <c r="E276" i="24"/>
  <c r="E273" i="24"/>
  <c r="E63" i="24"/>
  <c r="E139" i="23"/>
  <c r="E139" i="24"/>
  <c r="E139" i="16"/>
  <c r="E90" i="24"/>
  <c r="E213" i="23"/>
  <c r="E90" i="23"/>
  <c r="E261" i="23"/>
  <c r="E262" i="23" s="1"/>
  <c r="E261" i="24"/>
  <c r="E262" i="24" s="1"/>
  <c r="E75" i="23"/>
  <c r="E75" i="24"/>
  <c r="E84" i="16"/>
  <c r="E84" i="23"/>
  <c r="E84" i="24"/>
  <c r="E126" i="23"/>
  <c r="E127" i="23" s="1"/>
  <c r="E126" i="24"/>
  <c r="E127" i="24" s="1"/>
  <c r="E218" i="24"/>
  <c r="E218" i="23"/>
  <c r="E236" i="23"/>
  <c r="E236" i="24"/>
  <c r="K155" i="24"/>
  <c r="J156" i="24"/>
  <c r="J158" i="24" s="1"/>
  <c r="H278" i="24"/>
  <c r="H250" i="24"/>
  <c r="I174" i="24"/>
  <c r="G111" i="24"/>
  <c r="C109" i="24"/>
  <c r="I158" i="24"/>
  <c r="C149" i="24"/>
  <c r="J85" i="24"/>
  <c r="D174" i="24"/>
  <c r="L180" i="24"/>
  <c r="L185" i="24" s="1"/>
  <c r="M179" i="24"/>
  <c r="M180" i="24" s="1"/>
  <c r="M185" i="24" s="1"/>
  <c r="K171" i="24"/>
  <c r="J172" i="24"/>
  <c r="J174" i="24" s="1"/>
  <c r="J278" i="24"/>
  <c r="J250" i="24"/>
  <c r="K250" i="24"/>
  <c r="K278" i="24"/>
  <c r="I250" i="24"/>
  <c r="I278" i="24"/>
  <c r="C204" i="24"/>
  <c r="H185" i="24"/>
  <c r="D131" i="24"/>
  <c r="I179" i="23"/>
  <c r="H180" i="23"/>
  <c r="H185" i="23" s="1"/>
  <c r="K72" i="23"/>
  <c r="L72" i="23"/>
  <c r="J172" i="23"/>
  <c r="J109" i="23"/>
  <c r="J111" i="23" s="1"/>
  <c r="J113" i="23" s="1"/>
  <c r="J166" i="23"/>
  <c r="G111" i="23"/>
  <c r="D192" i="23"/>
  <c r="I250" i="23"/>
  <c r="I278" i="23"/>
  <c r="L183" i="23"/>
  <c r="C183" i="23" s="1"/>
  <c r="M182" i="23"/>
  <c r="L155" i="23"/>
  <c r="K156" i="23"/>
  <c r="K158" i="23" s="1"/>
  <c r="D219" i="23"/>
  <c r="D232" i="23"/>
  <c r="L198" i="23"/>
  <c r="K199" i="23"/>
  <c r="K204" i="23" s="1"/>
  <c r="H250" i="23"/>
  <c r="H278" i="23"/>
  <c r="D131" i="23"/>
  <c r="E261" i="16"/>
  <c r="F45" i="9"/>
  <c r="F37" i="9"/>
  <c r="E75" i="16"/>
  <c r="E63" i="16"/>
  <c r="E273" i="16"/>
  <c r="F31" i="9"/>
  <c r="E218" i="16"/>
  <c r="E80" i="16"/>
  <c r="F41" i="9"/>
  <c r="F35" i="9"/>
  <c r="F33" i="9"/>
  <c r="E126" i="16"/>
  <c r="F32" i="9"/>
  <c r="F28" i="9"/>
  <c r="E276" i="16"/>
  <c r="F42" i="9"/>
  <c r="E236" i="16"/>
  <c r="B277" i="16"/>
  <c r="B278" i="16"/>
  <c r="B279" i="16"/>
  <c r="B280" i="16"/>
  <c r="A280" i="16"/>
  <c r="A279" i="16"/>
  <c r="A278" i="16"/>
  <c r="A277" i="16"/>
  <c r="D262" i="16"/>
  <c r="B252" i="16"/>
  <c r="A252" i="16"/>
  <c r="A251" i="16"/>
  <c r="B250" i="16"/>
  <c r="A250" i="16"/>
  <c r="B233" i="16"/>
  <c r="A233" i="16"/>
  <c r="B232" i="16"/>
  <c r="A204" i="16"/>
  <c r="E201" i="16"/>
  <c r="E198" i="16"/>
  <c r="F198" i="16" s="1"/>
  <c r="M197" i="16"/>
  <c r="L197" i="16"/>
  <c r="K197" i="16"/>
  <c r="J197" i="16"/>
  <c r="I197" i="16"/>
  <c r="H197" i="16"/>
  <c r="G197" i="16"/>
  <c r="F197" i="16"/>
  <c r="E197" i="16"/>
  <c r="D197" i="16"/>
  <c r="B197" i="16"/>
  <c r="A197" i="16"/>
  <c r="M196" i="16"/>
  <c r="L196" i="16"/>
  <c r="K196" i="16"/>
  <c r="J196" i="16"/>
  <c r="I196" i="16"/>
  <c r="H196" i="16"/>
  <c r="G196" i="16"/>
  <c r="F196" i="16"/>
  <c r="E196" i="16"/>
  <c r="D196" i="16"/>
  <c r="B196" i="16"/>
  <c r="A196" i="16"/>
  <c r="A192" i="16"/>
  <c r="E191" i="16"/>
  <c r="F191" i="16" s="1"/>
  <c r="G191" i="16" s="1"/>
  <c r="H191" i="16" s="1"/>
  <c r="I191" i="16" s="1"/>
  <c r="J191" i="16" s="1"/>
  <c r="K191" i="16" s="1"/>
  <c r="L191" i="16" s="1"/>
  <c r="M191" i="16" s="1"/>
  <c r="E182" i="16"/>
  <c r="F182" i="16" s="1"/>
  <c r="G182" i="16" s="1"/>
  <c r="H182" i="16" s="1"/>
  <c r="I182" i="16" s="1"/>
  <c r="J182" i="16" s="1"/>
  <c r="K182" i="16" s="1"/>
  <c r="L182" i="16" s="1"/>
  <c r="M182" i="16" s="1"/>
  <c r="E179" i="16"/>
  <c r="F179" i="16" s="1"/>
  <c r="G179" i="16" s="1"/>
  <c r="H179" i="16" s="1"/>
  <c r="M177" i="16"/>
  <c r="M183" i="16" s="1"/>
  <c r="L177" i="16"/>
  <c r="K177" i="16"/>
  <c r="J177" i="16"/>
  <c r="I177" i="16"/>
  <c r="H177" i="16"/>
  <c r="G177" i="16"/>
  <c r="F177" i="16"/>
  <c r="E177" i="16"/>
  <c r="E183" i="16" s="1"/>
  <c r="D177" i="16"/>
  <c r="D183" i="16" s="1"/>
  <c r="B177" i="16"/>
  <c r="A177" i="16"/>
  <c r="E171" i="16"/>
  <c r="F171" i="16" s="1"/>
  <c r="G171" i="16" s="1"/>
  <c r="E167" i="16"/>
  <c r="F167" i="16" s="1"/>
  <c r="G167" i="16" s="1"/>
  <c r="H167" i="16" s="1"/>
  <c r="I167" i="16" s="1"/>
  <c r="J167" i="16" s="1"/>
  <c r="K167" i="16" s="1"/>
  <c r="L167" i="16" s="1"/>
  <c r="M167" i="16" s="1"/>
  <c r="B166" i="16"/>
  <c r="A166" i="16"/>
  <c r="E163" i="16"/>
  <c r="F163" i="16" s="1"/>
  <c r="G163" i="16" s="1"/>
  <c r="H163" i="16" s="1"/>
  <c r="I163" i="16" s="1"/>
  <c r="J163" i="16" s="1"/>
  <c r="K163" i="16" s="1"/>
  <c r="L163" i="16" s="1"/>
  <c r="M163" i="16" s="1"/>
  <c r="M162" i="16"/>
  <c r="L162" i="16"/>
  <c r="K162" i="16"/>
  <c r="J162" i="16"/>
  <c r="I162" i="16"/>
  <c r="H162" i="16"/>
  <c r="G162" i="16"/>
  <c r="F162" i="16"/>
  <c r="E162" i="16"/>
  <c r="D162" i="16"/>
  <c r="B162" i="16"/>
  <c r="A162" i="16"/>
  <c r="M156" i="16"/>
  <c r="F156" i="16"/>
  <c r="E156" i="16"/>
  <c r="D156" i="16"/>
  <c r="E155" i="16"/>
  <c r="F155" i="16" s="1"/>
  <c r="G155" i="16" s="1"/>
  <c r="M151" i="16"/>
  <c r="M153" i="16" s="1"/>
  <c r="L151" i="16"/>
  <c r="L153" i="16" s="1"/>
  <c r="K151" i="16"/>
  <c r="K153" i="16" s="1"/>
  <c r="J151" i="16"/>
  <c r="J153" i="16" s="1"/>
  <c r="I151" i="16"/>
  <c r="I153" i="16" s="1"/>
  <c r="H151" i="16"/>
  <c r="H153" i="16" s="1"/>
  <c r="G151" i="16"/>
  <c r="G153" i="16" s="1"/>
  <c r="F151" i="16"/>
  <c r="F153" i="16" s="1"/>
  <c r="E151" i="16"/>
  <c r="E153" i="16" s="1"/>
  <c r="D151" i="16"/>
  <c r="B151" i="16"/>
  <c r="A151" i="16"/>
  <c r="G148" i="16"/>
  <c r="H148" i="16" s="1"/>
  <c r="I148" i="16" s="1"/>
  <c r="M147" i="16"/>
  <c r="L147" i="16"/>
  <c r="K147" i="16"/>
  <c r="J147" i="16"/>
  <c r="I147" i="16"/>
  <c r="H147" i="16"/>
  <c r="G147" i="16"/>
  <c r="F147" i="16"/>
  <c r="F149" i="16" s="1"/>
  <c r="E147" i="16"/>
  <c r="E149" i="16" s="1"/>
  <c r="D147" i="16"/>
  <c r="D149" i="16" s="1"/>
  <c r="B147" i="16"/>
  <c r="A147" i="16"/>
  <c r="A232" i="16"/>
  <c r="D127" i="16"/>
  <c r="D122" i="16"/>
  <c r="E122" i="16" s="1"/>
  <c r="F122" i="16" s="1"/>
  <c r="G122" i="16" s="1"/>
  <c r="H122" i="16" s="1"/>
  <c r="I122" i="16" s="1"/>
  <c r="J122" i="16" s="1"/>
  <c r="K122" i="16" s="1"/>
  <c r="L122" i="16" s="1"/>
  <c r="M122" i="16" s="1"/>
  <c r="E108" i="16"/>
  <c r="F108" i="16" s="1"/>
  <c r="G108" i="16" s="1"/>
  <c r="H108" i="16" s="1"/>
  <c r="I108" i="16" s="1"/>
  <c r="J108" i="16" s="1"/>
  <c r="K108" i="16" s="1"/>
  <c r="L108" i="16" s="1"/>
  <c r="M108" i="16" s="1"/>
  <c r="C106" i="16"/>
  <c r="M102" i="16"/>
  <c r="L102" i="16"/>
  <c r="K102" i="16"/>
  <c r="J102" i="16"/>
  <c r="I102" i="16"/>
  <c r="H102" i="16"/>
  <c r="G102" i="16"/>
  <c r="F102" i="16"/>
  <c r="E102" i="16"/>
  <c r="D102" i="16"/>
  <c r="C101" i="16"/>
  <c r="C100" i="16"/>
  <c r="C99" i="16"/>
  <c r="C98" i="16"/>
  <c r="C97" i="16"/>
  <c r="C96" i="16"/>
  <c r="C94" i="16"/>
  <c r="M85" i="16"/>
  <c r="D81" i="16"/>
  <c r="D88" i="16" s="1"/>
  <c r="M76" i="16"/>
  <c r="M72" i="16"/>
  <c r="H72" i="16"/>
  <c r="G72" i="16"/>
  <c r="F72" i="16"/>
  <c r="E72" i="16"/>
  <c r="D72" i="16"/>
  <c r="I71" i="16"/>
  <c r="M70" i="16"/>
  <c r="J70" i="16"/>
  <c r="I70" i="16"/>
  <c r="H70" i="16"/>
  <c r="G70" i="16"/>
  <c r="F70" i="16"/>
  <c r="E70" i="16"/>
  <c r="D70" i="16"/>
  <c r="C68" i="16"/>
  <c r="C67" i="16"/>
  <c r="B8" i="16"/>
  <c r="A8" i="16"/>
  <c r="A7" i="16"/>
  <c r="A6" i="16"/>
  <c r="A5" i="9" s="1"/>
  <c r="B5" i="16"/>
  <c r="A5" i="16"/>
  <c r="A4" i="9" s="1"/>
  <c r="G28" i="9" l="1"/>
  <c r="F246" i="24"/>
  <c r="F276" i="23"/>
  <c r="F246" i="16"/>
  <c r="F90" i="16"/>
  <c r="F213" i="24"/>
  <c r="F273" i="23"/>
  <c r="F213" i="16"/>
  <c r="F90" i="23"/>
  <c r="F276" i="24"/>
  <c r="F273" i="24"/>
  <c r="F139" i="23"/>
  <c r="F213" i="23"/>
  <c r="F63" i="24"/>
  <c r="F139" i="24"/>
  <c r="F139" i="16"/>
  <c r="F90" i="24"/>
  <c r="F63" i="23"/>
  <c r="F246" i="23"/>
  <c r="F126" i="23"/>
  <c r="F127" i="23" s="1"/>
  <c r="F126" i="24"/>
  <c r="F127" i="24" s="1"/>
  <c r="F80" i="23"/>
  <c r="F80" i="24"/>
  <c r="F218" i="24"/>
  <c r="F218" i="23"/>
  <c r="F75" i="23"/>
  <c r="F76" i="23" s="1"/>
  <c r="F75" i="24"/>
  <c r="F76" i="24" s="1"/>
  <c r="E128" i="24"/>
  <c r="E131" i="24" s="1"/>
  <c r="E128" i="23"/>
  <c r="E131" i="23" s="1"/>
  <c r="F84" i="23"/>
  <c r="F84" i="24"/>
  <c r="G37" i="9"/>
  <c r="G236" i="16" s="1"/>
  <c r="F236" i="23"/>
  <c r="F236" i="24"/>
  <c r="E133" i="23"/>
  <c r="E136" i="23" s="1"/>
  <c r="F261" i="23"/>
  <c r="F262" i="23" s="1"/>
  <c r="F261" i="24"/>
  <c r="F262" i="24" s="1"/>
  <c r="E88" i="24"/>
  <c r="E133" i="24"/>
  <c r="E136" i="24" s="1"/>
  <c r="E232" i="24" s="1"/>
  <c r="G113" i="24"/>
  <c r="C111" i="24"/>
  <c r="C180" i="24"/>
  <c r="C185" i="24"/>
  <c r="L171" i="24"/>
  <c r="K172" i="24"/>
  <c r="D206" i="24"/>
  <c r="L155" i="24"/>
  <c r="K156" i="24"/>
  <c r="D132" i="24"/>
  <c r="D134" i="24" s="1"/>
  <c r="E130" i="24" s="1"/>
  <c r="C6" i="9"/>
  <c r="E277" i="23"/>
  <c r="E249" i="23"/>
  <c r="E229" i="23"/>
  <c r="E190" i="23"/>
  <c r="E217" i="23"/>
  <c r="L172" i="23"/>
  <c r="L109" i="23"/>
  <c r="L111" i="23" s="1"/>
  <c r="L113" i="23" s="1"/>
  <c r="L166" i="23"/>
  <c r="L168" i="23" s="1"/>
  <c r="J168" i="23"/>
  <c r="M198" i="23"/>
  <c r="M199" i="23" s="1"/>
  <c r="M204" i="23" s="1"/>
  <c r="L199" i="23"/>
  <c r="L204" i="23" s="1"/>
  <c r="J179" i="23"/>
  <c r="I180" i="23"/>
  <c r="I185" i="23" s="1"/>
  <c r="D233" i="23"/>
  <c r="J250" i="23"/>
  <c r="J278" i="23"/>
  <c r="C72" i="23"/>
  <c r="K172" i="23"/>
  <c r="K109" i="23"/>
  <c r="K166" i="23"/>
  <c r="K168" i="23" s="1"/>
  <c r="D132" i="23"/>
  <c r="D134" i="23" s="1"/>
  <c r="E130" i="23" s="1"/>
  <c r="G113" i="23"/>
  <c r="M155" i="23"/>
  <c r="L156" i="23"/>
  <c r="D206" i="23"/>
  <c r="E172" i="16"/>
  <c r="D109" i="16"/>
  <c r="D111" i="16" s="1"/>
  <c r="D113" i="16" s="1"/>
  <c r="F172" i="16"/>
  <c r="M172" i="16"/>
  <c r="L183" i="16"/>
  <c r="H171" i="16"/>
  <c r="G172" i="16"/>
  <c r="D249" i="16"/>
  <c r="D229" i="16"/>
  <c r="D217" i="16"/>
  <c r="F164" i="16"/>
  <c r="F236" i="16"/>
  <c r="F180" i="16"/>
  <c r="G45" i="9"/>
  <c r="F261" i="16"/>
  <c r="G41" i="9"/>
  <c r="F75" i="16"/>
  <c r="G42" i="9"/>
  <c r="F84" i="16"/>
  <c r="F276" i="16"/>
  <c r="F273" i="16"/>
  <c r="F63" i="16"/>
  <c r="G32" i="9"/>
  <c r="G33" i="9"/>
  <c r="F126" i="16"/>
  <c r="G35" i="9"/>
  <c r="F218" i="16"/>
  <c r="G31" i="9"/>
  <c r="F80" i="16"/>
  <c r="E262" i="16"/>
  <c r="E164" i="16"/>
  <c r="G164" i="16"/>
  <c r="K164" i="16"/>
  <c r="E202" i="16"/>
  <c r="I202" i="16"/>
  <c r="F201" i="16"/>
  <c r="G201" i="16" s="1"/>
  <c r="H201" i="16" s="1"/>
  <c r="I201" i="16" s="1"/>
  <c r="G198" i="16"/>
  <c r="G199" i="16" s="1"/>
  <c r="I72" i="16"/>
  <c r="F158" i="16"/>
  <c r="E199" i="16"/>
  <c r="F202" i="16"/>
  <c r="H183" i="16"/>
  <c r="E127" i="16"/>
  <c r="C147" i="16"/>
  <c r="G149" i="16"/>
  <c r="I164" i="16"/>
  <c r="C70" i="16"/>
  <c r="C69" i="16" s="1"/>
  <c r="J71" i="16"/>
  <c r="K71" i="16" s="1"/>
  <c r="L71" i="16" s="1"/>
  <c r="L72" i="16" s="1"/>
  <c r="J183" i="16"/>
  <c r="C102" i="16"/>
  <c r="D180" i="16"/>
  <c r="D185" i="16" s="1"/>
  <c r="C197" i="16"/>
  <c r="H202" i="16"/>
  <c r="D133" i="16"/>
  <c r="G156" i="16"/>
  <c r="H155" i="16"/>
  <c r="G166" i="16"/>
  <c r="G168" i="16" s="1"/>
  <c r="J148" i="16"/>
  <c r="I149" i="16"/>
  <c r="M164" i="16"/>
  <c r="M211" i="16"/>
  <c r="M210" i="16"/>
  <c r="M166" i="16"/>
  <c r="M168" i="16" s="1"/>
  <c r="M109" i="16"/>
  <c r="M111" i="16" s="1"/>
  <c r="M113" i="16" s="1"/>
  <c r="L85" i="16"/>
  <c r="M86" i="16" s="1"/>
  <c r="L76" i="16"/>
  <c r="M77" i="16" s="1"/>
  <c r="E158" i="16"/>
  <c r="E211" i="16"/>
  <c r="E210" i="16"/>
  <c r="E166" i="16"/>
  <c r="E168" i="16" s="1"/>
  <c r="E109" i="16"/>
  <c r="E111" i="16" s="1"/>
  <c r="E113" i="16" s="1"/>
  <c r="D85" i="16"/>
  <c r="D76" i="16"/>
  <c r="F210" i="16"/>
  <c r="F211" i="16"/>
  <c r="F166" i="16"/>
  <c r="F168" i="16" s="1"/>
  <c r="D153" i="16"/>
  <c r="C153" i="16" s="1"/>
  <c r="C151" i="16"/>
  <c r="D164" i="16"/>
  <c r="C162" i="16"/>
  <c r="H164" i="16"/>
  <c r="L164" i="16"/>
  <c r="H180" i="16"/>
  <c r="I179" i="16"/>
  <c r="F183" i="16"/>
  <c r="D210" i="16"/>
  <c r="D211" i="16"/>
  <c r="D172" i="16"/>
  <c r="E76" i="16"/>
  <c r="E85" i="16"/>
  <c r="H149" i="16"/>
  <c r="J164" i="16"/>
  <c r="D166" i="16"/>
  <c r="F109" i="16"/>
  <c r="F111" i="16" s="1"/>
  <c r="F113" i="16" s="1"/>
  <c r="H166" i="16"/>
  <c r="H168" i="16" s="1"/>
  <c r="G183" i="16"/>
  <c r="K183" i="16"/>
  <c r="F199" i="16"/>
  <c r="J202" i="16"/>
  <c r="C177" i="16"/>
  <c r="G202" i="16"/>
  <c r="K202" i="16"/>
  <c r="I183" i="16"/>
  <c r="C196" i="16"/>
  <c r="D199" i="16"/>
  <c r="G180" i="16"/>
  <c r="E180" i="16"/>
  <c r="E185" i="16" s="1"/>
  <c r="E132" i="24" l="1"/>
  <c r="F128" i="24"/>
  <c r="F131" i="24" s="1"/>
  <c r="G273" i="16"/>
  <c r="G236" i="24"/>
  <c r="G236" i="23"/>
  <c r="G126" i="24"/>
  <c r="G127" i="24" s="1"/>
  <c r="G126" i="23"/>
  <c r="G127" i="23" s="1"/>
  <c r="H28" i="9"/>
  <c r="F128" i="23"/>
  <c r="F131" i="23" s="1"/>
  <c r="E134" i="24"/>
  <c r="F130" i="24" s="1"/>
  <c r="G246" i="24"/>
  <c r="G276" i="23"/>
  <c r="G246" i="16"/>
  <c r="G90" i="16"/>
  <c r="G213" i="24"/>
  <c r="G273" i="23"/>
  <c r="G213" i="16"/>
  <c r="G90" i="23"/>
  <c r="G276" i="24"/>
  <c r="G273" i="24"/>
  <c r="G63" i="24"/>
  <c r="G139" i="24"/>
  <c r="G139" i="16"/>
  <c r="G90" i="24"/>
  <c r="G213" i="23"/>
  <c r="G246" i="23"/>
  <c r="G139" i="23"/>
  <c r="G63" i="23"/>
  <c r="E249" i="24"/>
  <c r="E277" i="24"/>
  <c r="E190" i="24"/>
  <c r="E192" i="24" s="1"/>
  <c r="E217" i="24"/>
  <c r="E219" i="24" s="1"/>
  <c r="E233" i="24" s="1"/>
  <c r="E229" i="24"/>
  <c r="G84" i="24"/>
  <c r="G84" i="23"/>
  <c r="E132" i="23"/>
  <c r="E134" i="23" s="1"/>
  <c r="F130" i="23" s="1"/>
  <c r="G80" i="23"/>
  <c r="G80" i="24"/>
  <c r="G75" i="23"/>
  <c r="G76" i="23" s="1"/>
  <c r="G77" i="23" s="1"/>
  <c r="G75" i="24"/>
  <c r="G76" i="24" s="1"/>
  <c r="G77" i="24" s="1"/>
  <c r="G218" i="23"/>
  <c r="G218" i="24"/>
  <c r="G276" i="16"/>
  <c r="F77" i="24"/>
  <c r="H37" i="9"/>
  <c r="I37" i="9" s="1"/>
  <c r="G261" i="23"/>
  <c r="G262" i="23" s="1"/>
  <c r="G261" i="24"/>
  <c r="G262" i="24" s="1"/>
  <c r="G63" i="16"/>
  <c r="F77" i="23"/>
  <c r="F81" i="23" s="1"/>
  <c r="K174" i="24"/>
  <c r="K158" i="24"/>
  <c r="D251" i="24"/>
  <c r="D279" i="24"/>
  <c r="D231" i="24"/>
  <c r="M155" i="24"/>
  <c r="L156" i="24"/>
  <c r="L158" i="24" s="1"/>
  <c r="E206" i="24"/>
  <c r="M171" i="24"/>
  <c r="L172" i="24"/>
  <c r="L174" i="24" s="1"/>
  <c r="G278" i="24"/>
  <c r="G250" i="24"/>
  <c r="C113" i="24"/>
  <c r="C204" i="23"/>
  <c r="L174" i="23"/>
  <c r="G250" i="23"/>
  <c r="G278" i="23"/>
  <c r="K174" i="23"/>
  <c r="C166" i="23"/>
  <c r="E219" i="23"/>
  <c r="C168" i="23"/>
  <c r="J174" i="23"/>
  <c r="E192" i="23"/>
  <c r="K111" i="23"/>
  <c r="C109" i="23"/>
  <c r="C71" i="23"/>
  <c r="D279" i="23"/>
  <c r="D251" i="23"/>
  <c r="D231" i="23"/>
  <c r="L278" i="23"/>
  <c r="L250" i="23"/>
  <c r="C199" i="23"/>
  <c r="E232" i="23"/>
  <c r="J180" i="23"/>
  <c r="J185" i="23" s="1"/>
  <c r="K179" i="23"/>
  <c r="C172" i="23"/>
  <c r="L158" i="23"/>
  <c r="C156" i="23"/>
  <c r="L166" i="16"/>
  <c r="L168" i="16" s="1"/>
  <c r="G158" i="16"/>
  <c r="L109" i="16"/>
  <c r="L111" i="16" s="1"/>
  <c r="L113" i="16" s="1"/>
  <c r="I171" i="16"/>
  <c r="H172" i="16"/>
  <c r="H174" i="16" s="1"/>
  <c r="F185" i="16"/>
  <c r="D190" i="16"/>
  <c r="E204" i="16"/>
  <c r="F204" i="16"/>
  <c r="G261" i="16"/>
  <c r="H45" i="9"/>
  <c r="F262" i="16"/>
  <c r="I166" i="16"/>
  <c r="I168" i="16" s="1"/>
  <c r="D158" i="16"/>
  <c r="I109" i="16"/>
  <c r="I111" i="16" s="1"/>
  <c r="I113" i="16" s="1"/>
  <c r="F127" i="16"/>
  <c r="H41" i="9"/>
  <c r="G75" i="16"/>
  <c r="G76" i="16" s="1"/>
  <c r="H31" i="9"/>
  <c r="G80" i="16"/>
  <c r="H35" i="9"/>
  <c r="G218" i="16"/>
  <c r="H33" i="9"/>
  <c r="G126" i="16"/>
  <c r="H42" i="9"/>
  <c r="G84" i="16"/>
  <c r="H32" i="9"/>
  <c r="H109" i="16"/>
  <c r="H111" i="16" s="1"/>
  <c r="H113" i="16" s="1"/>
  <c r="F76" i="16"/>
  <c r="F77" i="16" s="1"/>
  <c r="F250" i="16"/>
  <c r="H185" i="16"/>
  <c r="J201" i="16"/>
  <c r="J179" i="16"/>
  <c r="F174" i="16"/>
  <c r="K72" i="16"/>
  <c r="G204" i="16"/>
  <c r="E250" i="16"/>
  <c r="J72" i="16"/>
  <c r="H198" i="16"/>
  <c r="G174" i="16"/>
  <c r="C183" i="16"/>
  <c r="G185" i="16"/>
  <c r="G109" i="16"/>
  <c r="G111" i="16" s="1"/>
  <c r="G113" i="16" s="1"/>
  <c r="E86" i="16"/>
  <c r="E174" i="16"/>
  <c r="I180" i="16"/>
  <c r="I185" i="16" s="1"/>
  <c r="D204" i="16"/>
  <c r="M174" i="16"/>
  <c r="K148" i="16"/>
  <c r="J149" i="16"/>
  <c r="D277" i="16"/>
  <c r="D168" i="16"/>
  <c r="D174" i="16" s="1"/>
  <c r="E77" i="16"/>
  <c r="I155" i="16"/>
  <c r="H156" i="16"/>
  <c r="H158" i="16" s="1"/>
  <c r="D136" i="16"/>
  <c r="C164" i="16"/>
  <c r="F132" i="23" l="1"/>
  <c r="F132" i="24"/>
  <c r="H236" i="16"/>
  <c r="I28" i="9"/>
  <c r="I63" i="24" s="1"/>
  <c r="H273" i="16"/>
  <c r="I236" i="24"/>
  <c r="I236" i="23"/>
  <c r="H262" i="23"/>
  <c r="G128" i="24"/>
  <c r="G131" i="24" s="1"/>
  <c r="G128" i="23"/>
  <c r="G131" i="23" s="1"/>
  <c r="F85" i="23"/>
  <c r="F86" i="23" s="1"/>
  <c r="F88" i="23" s="1"/>
  <c r="F133" i="23"/>
  <c r="F136" i="23" s="1"/>
  <c r="F232" i="23" s="1"/>
  <c r="G81" i="24"/>
  <c r="G85" i="24" s="1"/>
  <c r="I45" i="9"/>
  <c r="I261" i="16" s="1"/>
  <c r="H261" i="23"/>
  <c r="H261" i="24"/>
  <c r="H262" i="24" s="1"/>
  <c r="H218" i="23"/>
  <c r="H218" i="24"/>
  <c r="H213" i="24"/>
  <c r="H273" i="23"/>
  <c r="H213" i="16"/>
  <c r="H246" i="24"/>
  <c r="H276" i="24"/>
  <c r="H273" i="24"/>
  <c r="H63" i="24"/>
  <c r="H139" i="24"/>
  <c r="H139" i="16"/>
  <c r="H90" i="24"/>
  <c r="H63" i="23"/>
  <c r="H276" i="23"/>
  <c r="H246" i="16"/>
  <c r="H139" i="23"/>
  <c r="H246" i="23"/>
  <c r="H213" i="23"/>
  <c r="H90" i="23"/>
  <c r="H90" i="16"/>
  <c r="G81" i="23"/>
  <c r="G85" i="23" s="1"/>
  <c r="F81" i="24"/>
  <c r="H84" i="23"/>
  <c r="H84" i="24"/>
  <c r="I276" i="24"/>
  <c r="I273" i="24"/>
  <c r="I246" i="24"/>
  <c r="I276" i="23"/>
  <c r="I90" i="16"/>
  <c r="I139" i="24"/>
  <c r="I139" i="16"/>
  <c r="I90" i="24"/>
  <c r="I139" i="23"/>
  <c r="I246" i="16"/>
  <c r="I213" i="24"/>
  <c r="I213" i="23"/>
  <c r="I90" i="23"/>
  <c r="I246" i="23"/>
  <c r="I63" i="23"/>
  <c r="I213" i="16"/>
  <c r="H63" i="16"/>
  <c r="H276" i="16"/>
  <c r="H75" i="23"/>
  <c r="H76" i="23" s="1"/>
  <c r="H77" i="23" s="1"/>
  <c r="H75" i="24"/>
  <c r="H76" i="24" s="1"/>
  <c r="H126" i="24"/>
  <c r="H127" i="24" s="1"/>
  <c r="H126" i="23"/>
  <c r="H127" i="23" s="1"/>
  <c r="H80" i="24"/>
  <c r="H80" i="23"/>
  <c r="H236" i="24"/>
  <c r="H236" i="23"/>
  <c r="C156" i="24"/>
  <c r="C172" i="24"/>
  <c r="C158" i="24"/>
  <c r="D234" i="24"/>
  <c r="E251" i="24"/>
  <c r="E279" i="24"/>
  <c r="E231" i="24"/>
  <c r="E234" i="24" s="1"/>
  <c r="E237" i="24" s="1"/>
  <c r="C174" i="24"/>
  <c r="C250" i="24"/>
  <c r="E206" i="23"/>
  <c r="E233" i="23"/>
  <c r="C158" i="23"/>
  <c r="C174" i="23"/>
  <c r="L179" i="23"/>
  <c r="K180" i="23"/>
  <c r="K185" i="23" s="1"/>
  <c r="D234" i="23"/>
  <c r="K113" i="23"/>
  <c r="C111" i="23"/>
  <c r="J109" i="16"/>
  <c r="J111" i="16" s="1"/>
  <c r="J113" i="16" s="1"/>
  <c r="J171" i="16"/>
  <c r="I172" i="16"/>
  <c r="I174" i="16" s="1"/>
  <c r="H261" i="16"/>
  <c r="G262" i="16"/>
  <c r="G127" i="16"/>
  <c r="F128" i="16"/>
  <c r="F131" i="16" s="1"/>
  <c r="J166" i="16"/>
  <c r="J168" i="16" s="1"/>
  <c r="I32" i="9"/>
  <c r="I276" i="16"/>
  <c r="I273" i="16"/>
  <c r="I63" i="16"/>
  <c r="I41" i="9"/>
  <c r="H75" i="16"/>
  <c r="H76" i="16" s="1"/>
  <c r="H77" i="16" s="1"/>
  <c r="I33" i="9"/>
  <c r="H126" i="16"/>
  <c r="I35" i="9"/>
  <c r="H218" i="16"/>
  <c r="J37" i="9"/>
  <c r="I236" i="16"/>
  <c r="I31" i="9"/>
  <c r="H80" i="16"/>
  <c r="I42" i="9"/>
  <c r="H84" i="16"/>
  <c r="J45" i="9"/>
  <c r="F278" i="16"/>
  <c r="G77" i="16"/>
  <c r="G81" i="16" s="1"/>
  <c r="J28" i="9"/>
  <c r="E278" i="16"/>
  <c r="E128" i="16"/>
  <c r="E131" i="16" s="1"/>
  <c r="C72" i="16"/>
  <c r="C71" i="16" s="1"/>
  <c r="I198" i="16"/>
  <c r="H199" i="16"/>
  <c r="K201" i="16"/>
  <c r="K179" i="16"/>
  <c r="J180" i="16"/>
  <c r="J185" i="16" s="1"/>
  <c r="G278" i="16"/>
  <c r="K166" i="16"/>
  <c r="K168" i="16" s="1"/>
  <c r="K109" i="16"/>
  <c r="K111" i="16" s="1"/>
  <c r="K113" i="16" s="1"/>
  <c r="F81" i="16"/>
  <c r="L148" i="16"/>
  <c r="K149" i="16"/>
  <c r="J155" i="16"/>
  <c r="I156" i="16"/>
  <c r="I158" i="16" s="1"/>
  <c r="E81" i="16"/>
  <c r="E88" i="16" s="1"/>
  <c r="D232" i="16"/>
  <c r="I273" i="23" l="1"/>
  <c r="H128" i="24"/>
  <c r="F229" i="23"/>
  <c r="F217" i="23"/>
  <c r="F219" i="23" s="1"/>
  <c r="F233" i="23" s="1"/>
  <c r="F190" i="23"/>
  <c r="F192" i="23" s="1"/>
  <c r="F206" i="23" s="1"/>
  <c r="F249" i="23"/>
  <c r="F277" i="23"/>
  <c r="H128" i="23"/>
  <c r="H131" i="23" s="1"/>
  <c r="H81" i="23"/>
  <c r="I218" i="23"/>
  <c r="I218" i="24"/>
  <c r="F134" i="23"/>
  <c r="G130" i="23" s="1"/>
  <c r="G132" i="23" s="1"/>
  <c r="H77" i="24"/>
  <c r="J261" i="24"/>
  <c r="J261" i="23"/>
  <c r="I75" i="23"/>
  <c r="I76" i="23" s="1"/>
  <c r="I77" i="23" s="1"/>
  <c r="I75" i="24"/>
  <c r="I76" i="24" s="1"/>
  <c r="J77" i="24" s="1"/>
  <c r="I126" i="24"/>
  <c r="I127" i="24" s="1"/>
  <c r="I126" i="23"/>
  <c r="I127" i="23" s="1"/>
  <c r="J273" i="24"/>
  <c r="J63" i="24"/>
  <c r="J246" i="24"/>
  <c r="J139" i="24"/>
  <c r="J139" i="16"/>
  <c r="J90" i="24"/>
  <c r="J276" i="23"/>
  <c r="J139" i="23"/>
  <c r="J213" i="23"/>
  <c r="J90" i="23"/>
  <c r="J90" i="16"/>
  <c r="J273" i="23"/>
  <c r="J246" i="23"/>
  <c r="J63" i="23"/>
  <c r="J213" i="16"/>
  <c r="J276" i="24"/>
  <c r="J246" i="16"/>
  <c r="J213" i="24"/>
  <c r="J236" i="24"/>
  <c r="J236" i="23"/>
  <c r="F85" i="24"/>
  <c r="F86" i="24" s="1"/>
  <c r="F133" i="24"/>
  <c r="I80" i="23"/>
  <c r="I80" i="24"/>
  <c r="I84" i="23"/>
  <c r="I84" i="24"/>
  <c r="G86" i="23"/>
  <c r="G88" i="23" s="1"/>
  <c r="I261" i="23"/>
  <c r="I262" i="23" s="1"/>
  <c r="I261" i="24"/>
  <c r="I262" i="24" s="1"/>
  <c r="K211" i="24"/>
  <c r="K210" i="24"/>
  <c r="L210" i="24"/>
  <c r="L211" i="24"/>
  <c r="D237" i="24"/>
  <c r="C279" i="24"/>
  <c r="K250" i="23"/>
  <c r="C250" i="23" s="1"/>
  <c r="K278" i="23"/>
  <c r="C113" i="23"/>
  <c r="D237" i="23"/>
  <c r="L180" i="23"/>
  <c r="L185" i="23" s="1"/>
  <c r="M179" i="23"/>
  <c r="M180" i="23" s="1"/>
  <c r="E231" i="23"/>
  <c r="E279" i="23"/>
  <c r="E251" i="23"/>
  <c r="K171" i="16"/>
  <c r="J172" i="16"/>
  <c r="J174" i="16" s="1"/>
  <c r="E229" i="16"/>
  <c r="E217" i="16"/>
  <c r="E249" i="16"/>
  <c r="H262" i="16"/>
  <c r="I262" i="16" s="1"/>
  <c r="H127" i="16"/>
  <c r="H128" i="16" s="1"/>
  <c r="H131" i="16" s="1"/>
  <c r="J31" i="9"/>
  <c r="I80" i="16"/>
  <c r="J33" i="9"/>
  <c r="I126" i="16"/>
  <c r="J41" i="9"/>
  <c r="I75" i="16"/>
  <c r="I76" i="16" s="1"/>
  <c r="I77" i="16" s="1"/>
  <c r="K45" i="9"/>
  <c r="J261" i="16"/>
  <c r="J42" i="9"/>
  <c r="I84" i="16"/>
  <c r="K37" i="9"/>
  <c r="J236" i="16"/>
  <c r="J32" i="9"/>
  <c r="J35" i="9"/>
  <c r="I218" i="16"/>
  <c r="J276" i="16"/>
  <c r="J273" i="16"/>
  <c r="J63" i="16"/>
  <c r="K28" i="9"/>
  <c r="H81" i="16"/>
  <c r="H85" i="16" s="1"/>
  <c r="G128" i="16"/>
  <c r="G131" i="16" s="1"/>
  <c r="L201" i="16"/>
  <c r="C168" i="16"/>
  <c r="C166" i="16"/>
  <c r="L179" i="16"/>
  <c r="K180" i="16"/>
  <c r="K185" i="16" s="1"/>
  <c r="J198" i="16"/>
  <c r="I199" i="16"/>
  <c r="I204" i="16" s="1"/>
  <c r="H204" i="16"/>
  <c r="C111" i="16"/>
  <c r="G250" i="16"/>
  <c r="C109" i="16"/>
  <c r="F133" i="16"/>
  <c r="F136" i="16" s="1"/>
  <c r="F232" i="16" s="1"/>
  <c r="F85" i="16"/>
  <c r="F86" i="16" s="1"/>
  <c r="F88" i="16" s="1"/>
  <c r="D192" i="16"/>
  <c r="D206" i="16" s="1"/>
  <c r="G85" i="16"/>
  <c r="J156" i="16"/>
  <c r="J158" i="16" s="1"/>
  <c r="K155" i="16"/>
  <c r="D219" i="16"/>
  <c r="D250" i="16"/>
  <c r="D278" i="16"/>
  <c r="D128" i="16"/>
  <c r="M148" i="16"/>
  <c r="L149" i="16"/>
  <c r="E133" i="16"/>
  <c r="H250" i="16"/>
  <c r="H278" i="16"/>
  <c r="J262" i="24" l="1"/>
  <c r="G86" i="24"/>
  <c r="G88" i="24" s="1"/>
  <c r="J262" i="23"/>
  <c r="I81" i="23"/>
  <c r="I85" i="23" s="1"/>
  <c r="I128" i="24"/>
  <c r="I131" i="24" s="1"/>
  <c r="H85" i="23"/>
  <c r="H86" i="23" s="1"/>
  <c r="H88" i="23" s="1"/>
  <c r="I128" i="23"/>
  <c r="I131" i="23" s="1"/>
  <c r="G229" i="23"/>
  <c r="G217" i="23"/>
  <c r="G219" i="23" s="1"/>
  <c r="G233" i="23" s="1"/>
  <c r="G190" i="23"/>
  <c r="G192" i="23" s="1"/>
  <c r="G206" i="23" s="1"/>
  <c r="G249" i="23"/>
  <c r="F281" i="23"/>
  <c r="F282" i="23"/>
  <c r="J75" i="24"/>
  <c r="J75" i="23"/>
  <c r="J76" i="23" s="1"/>
  <c r="J126" i="24"/>
  <c r="J127" i="24" s="1"/>
  <c r="J126" i="23"/>
  <c r="J127" i="23" s="1"/>
  <c r="I77" i="24"/>
  <c r="I81" i="24" s="1"/>
  <c r="I85" i="24" s="1"/>
  <c r="F251" i="23"/>
  <c r="F231" i="23"/>
  <c r="F234" i="23" s="1"/>
  <c r="F237" i="23" s="1"/>
  <c r="J84" i="24"/>
  <c r="J84" i="23"/>
  <c r="H81" i="24"/>
  <c r="J218" i="23"/>
  <c r="J218" i="24"/>
  <c r="G190" i="24"/>
  <c r="G192" i="24" s="1"/>
  <c r="G206" i="24" s="1"/>
  <c r="G249" i="24"/>
  <c r="G229" i="24"/>
  <c r="G217" i="24"/>
  <c r="G219" i="24" s="1"/>
  <c r="G233" i="24" s="1"/>
  <c r="J80" i="23"/>
  <c r="J80" i="24"/>
  <c r="J81" i="24" s="1"/>
  <c r="K63" i="24"/>
  <c r="K139" i="24"/>
  <c r="K139" i="16"/>
  <c r="K90" i="24"/>
  <c r="K139" i="23"/>
  <c r="K273" i="24"/>
  <c r="K213" i="23"/>
  <c r="K90" i="23"/>
  <c r="K246" i="23"/>
  <c r="K63" i="23"/>
  <c r="K273" i="23"/>
  <c r="K213" i="16"/>
  <c r="K213" i="24"/>
  <c r="K246" i="24"/>
  <c r="K276" i="23"/>
  <c r="K246" i="16"/>
  <c r="K90" i="16"/>
  <c r="K276" i="24"/>
  <c r="K261" i="24"/>
  <c r="K261" i="23"/>
  <c r="K262" i="23" s="1"/>
  <c r="F136" i="24"/>
  <c r="F232" i="24" s="1"/>
  <c r="F134" i="24"/>
  <c r="G130" i="24" s="1"/>
  <c r="G132" i="24" s="1"/>
  <c r="G133" i="24" s="1"/>
  <c r="G134" i="24" s="1"/>
  <c r="H130" i="24" s="1"/>
  <c r="H131" i="24"/>
  <c r="K236" i="24"/>
  <c r="K236" i="23"/>
  <c r="F88" i="24"/>
  <c r="D241" i="24"/>
  <c r="D242" i="24" s="1"/>
  <c r="E240" i="24" s="1"/>
  <c r="E234" i="23"/>
  <c r="D241" i="23"/>
  <c r="M185" i="23"/>
  <c r="C180" i="23"/>
  <c r="G133" i="23"/>
  <c r="G134" i="23" s="1"/>
  <c r="H130" i="23" s="1"/>
  <c r="H132" i="23" s="1"/>
  <c r="C279" i="23"/>
  <c r="D231" i="16"/>
  <c r="I127" i="16"/>
  <c r="I128" i="16" s="1"/>
  <c r="I131" i="16" s="1"/>
  <c r="L171" i="16"/>
  <c r="K172" i="16"/>
  <c r="F229" i="16"/>
  <c r="F249" i="16"/>
  <c r="F217" i="16"/>
  <c r="F219" i="16" s="1"/>
  <c r="F190" i="16"/>
  <c r="F192" i="16" s="1"/>
  <c r="F206" i="16" s="1"/>
  <c r="E190" i="16"/>
  <c r="J262" i="16"/>
  <c r="I81" i="16"/>
  <c r="I85" i="16" s="1"/>
  <c r="I86" i="16" s="1"/>
  <c r="I88" i="16" s="1"/>
  <c r="H86" i="16"/>
  <c r="H88" i="16" s="1"/>
  <c r="K35" i="9"/>
  <c r="J218" i="16"/>
  <c r="K273" i="16"/>
  <c r="K63" i="16"/>
  <c r="K276" i="16"/>
  <c r="K32" i="9"/>
  <c r="L37" i="9"/>
  <c r="K236" i="16"/>
  <c r="K41" i="9"/>
  <c r="J75" i="16"/>
  <c r="J76" i="16" s="1"/>
  <c r="K33" i="9"/>
  <c r="J126" i="16"/>
  <c r="K31" i="9"/>
  <c r="J80" i="16"/>
  <c r="K42" i="9"/>
  <c r="J84" i="16"/>
  <c r="L45" i="9"/>
  <c r="K261" i="16"/>
  <c r="L28" i="9"/>
  <c r="M149" i="16"/>
  <c r="C149" i="16" s="1"/>
  <c r="L180" i="16"/>
  <c r="L185" i="16" s="1"/>
  <c r="M179" i="16"/>
  <c r="M201" i="16"/>
  <c r="M202" i="16" s="1"/>
  <c r="L202" i="16"/>
  <c r="K198" i="16"/>
  <c r="J199" i="16"/>
  <c r="F277" i="16"/>
  <c r="G86" i="16"/>
  <c r="G88" i="16" s="1"/>
  <c r="E136" i="16"/>
  <c r="K156" i="16"/>
  <c r="L155" i="16"/>
  <c r="L156" i="16" s="1"/>
  <c r="L158" i="16" s="1"/>
  <c r="E277" i="16"/>
  <c r="D233" i="16"/>
  <c r="D131" i="16"/>
  <c r="I250" i="16"/>
  <c r="I278" i="16"/>
  <c r="K262" i="24" l="1"/>
  <c r="H132" i="24"/>
  <c r="C77" i="24"/>
  <c r="J128" i="24"/>
  <c r="F249" i="24"/>
  <c r="F277" i="24"/>
  <c r="F229" i="24"/>
  <c r="F217" i="24"/>
  <c r="F190" i="24"/>
  <c r="G210" i="24"/>
  <c r="G211" i="24"/>
  <c r="G251" i="24"/>
  <c r="G279" i="24"/>
  <c r="G231" i="24"/>
  <c r="L261" i="24"/>
  <c r="L262" i="24" s="1"/>
  <c r="L261" i="23"/>
  <c r="L262" i="23" s="1"/>
  <c r="H85" i="24"/>
  <c r="H86" i="24" s="1"/>
  <c r="H88" i="24"/>
  <c r="F283" i="23"/>
  <c r="K126" i="24"/>
  <c r="K127" i="24" s="1"/>
  <c r="K126" i="23"/>
  <c r="K127" i="23" s="1"/>
  <c r="K75" i="23"/>
  <c r="K76" i="23" s="1"/>
  <c r="L77" i="23" s="1"/>
  <c r="K75" i="24"/>
  <c r="K218" i="23"/>
  <c r="K218" i="24"/>
  <c r="J77" i="23"/>
  <c r="H229" i="23"/>
  <c r="H217" i="23"/>
  <c r="H219" i="23" s="1"/>
  <c r="H233" i="23" s="1"/>
  <c r="H190" i="23"/>
  <c r="H192" i="23" s="1"/>
  <c r="H206" i="23" s="1"/>
  <c r="H277" i="23"/>
  <c r="H249" i="23"/>
  <c r="G210" i="23"/>
  <c r="G231" i="23"/>
  <c r="G251" i="23"/>
  <c r="G211" i="23"/>
  <c r="G279" i="23"/>
  <c r="K84" i="23"/>
  <c r="K84" i="24"/>
  <c r="K80" i="24"/>
  <c r="K81" i="24" s="1"/>
  <c r="K85" i="24" s="1"/>
  <c r="K80" i="23"/>
  <c r="J128" i="23"/>
  <c r="L139" i="24"/>
  <c r="L139" i="16"/>
  <c r="L90" i="24"/>
  <c r="L139" i="23"/>
  <c r="L273" i="24"/>
  <c r="L213" i="23"/>
  <c r="L90" i="23"/>
  <c r="L246" i="23"/>
  <c r="L63" i="23"/>
  <c r="L276" i="24"/>
  <c r="L63" i="24"/>
  <c r="L246" i="24"/>
  <c r="L276" i="23"/>
  <c r="L246" i="16"/>
  <c r="L90" i="16"/>
  <c r="L213" i="24"/>
  <c r="L273" i="23"/>
  <c r="L213" i="16"/>
  <c r="J127" i="16"/>
  <c r="J128" i="16" s="1"/>
  <c r="J131" i="16" s="1"/>
  <c r="L236" i="23"/>
  <c r="L236" i="24"/>
  <c r="J86" i="24"/>
  <c r="J88" i="24" s="1"/>
  <c r="I86" i="23"/>
  <c r="H133" i="24"/>
  <c r="H136" i="24" s="1"/>
  <c r="H232" i="24" s="1"/>
  <c r="D244" i="24"/>
  <c r="E241" i="24"/>
  <c r="E244" i="24" s="1"/>
  <c r="G136" i="24"/>
  <c r="H133" i="23"/>
  <c r="H136" i="23" s="1"/>
  <c r="H232" i="23" s="1"/>
  <c r="E237" i="23"/>
  <c r="C185" i="23"/>
  <c r="D244" i="23"/>
  <c r="G136" i="23"/>
  <c r="D242" i="23"/>
  <c r="E240" i="23" s="1"/>
  <c r="C202" i="16"/>
  <c r="M171" i="16"/>
  <c r="L172" i="16"/>
  <c r="L174" i="16" s="1"/>
  <c r="K174" i="16"/>
  <c r="C174" i="16" s="1"/>
  <c r="G249" i="16"/>
  <c r="G217" i="16"/>
  <c r="G229" i="16"/>
  <c r="G190" i="16"/>
  <c r="H249" i="16"/>
  <c r="H217" i="16"/>
  <c r="H219" i="16" s="1"/>
  <c r="H229" i="16"/>
  <c r="I249" i="16"/>
  <c r="I217" i="16"/>
  <c r="I229" i="16"/>
  <c r="H190" i="16"/>
  <c r="I190" i="16"/>
  <c r="F231" i="16"/>
  <c r="F251" i="16"/>
  <c r="H277" i="16"/>
  <c r="K262" i="16"/>
  <c r="M45" i="9"/>
  <c r="L261" i="16"/>
  <c r="L42" i="9"/>
  <c r="K84" i="16"/>
  <c r="L32" i="9"/>
  <c r="L276" i="16"/>
  <c r="L63" i="16"/>
  <c r="L273" i="16"/>
  <c r="J77" i="16"/>
  <c r="L35" i="9"/>
  <c r="K218" i="16"/>
  <c r="L31" i="9"/>
  <c r="K80" i="16"/>
  <c r="L33" i="9"/>
  <c r="K126" i="16"/>
  <c r="L41" i="9"/>
  <c r="K75" i="16"/>
  <c r="K76" i="16" s="1"/>
  <c r="L77" i="16" s="1"/>
  <c r="M37" i="9"/>
  <c r="L236" i="16"/>
  <c r="M158" i="16"/>
  <c r="M28" i="9"/>
  <c r="J204" i="16"/>
  <c r="L198" i="16"/>
  <c r="K199" i="16"/>
  <c r="K204" i="16" s="1"/>
  <c r="M155" i="16"/>
  <c r="M180" i="16"/>
  <c r="M185" i="16" s="1"/>
  <c r="C185" i="16" s="1"/>
  <c r="I277" i="16"/>
  <c r="F233" i="16"/>
  <c r="J250" i="16"/>
  <c r="J278" i="16"/>
  <c r="D132" i="16"/>
  <c r="D134" i="16" s="1"/>
  <c r="E130" i="16" s="1"/>
  <c r="E132" i="16" s="1"/>
  <c r="E134" i="16" s="1"/>
  <c r="F130" i="16" s="1"/>
  <c r="F132" i="16" s="1"/>
  <c r="F134" i="16" s="1"/>
  <c r="G130" i="16" s="1"/>
  <c r="G132" i="16" s="1"/>
  <c r="G277" i="16"/>
  <c r="K158" i="16"/>
  <c r="C156" i="16"/>
  <c r="E232" i="16"/>
  <c r="K77" i="23" l="1"/>
  <c r="K81" i="23" s="1"/>
  <c r="K128" i="24"/>
  <c r="K131" i="24" s="1"/>
  <c r="H211" i="23"/>
  <c r="H231" i="23"/>
  <c r="H234" i="23" s="1"/>
  <c r="H237" i="23" s="1"/>
  <c r="H279" i="23"/>
  <c r="H251" i="23"/>
  <c r="H210" i="23"/>
  <c r="F192" i="24"/>
  <c r="F219" i="24"/>
  <c r="J81" i="23"/>
  <c r="C77" i="23"/>
  <c r="L80" i="23"/>
  <c r="L81" i="23" s="1"/>
  <c r="L80" i="24"/>
  <c r="L81" i="24" s="1"/>
  <c r="L75" i="24"/>
  <c r="L75" i="23"/>
  <c r="L84" i="23"/>
  <c r="L84" i="24"/>
  <c r="K85" i="23"/>
  <c r="F281" i="24"/>
  <c r="F282" i="24"/>
  <c r="L126" i="24"/>
  <c r="L127" i="24" s="1"/>
  <c r="L126" i="23"/>
  <c r="L127" i="23" s="1"/>
  <c r="I88" i="23"/>
  <c r="J131" i="23"/>
  <c r="M261" i="24"/>
  <c r="M262" i="24" s="1"/>
  <c r="M261" i="23"/>
  <c r="M262" i="23" s="1"/>
  <c r="J229" i="24"/>
  <c r="J217" i="24"/>
  <c r="J219" i="24" s="1"/>
  <c r="J233" i="24" s="1"/>
  <c r="J190" i="24"/>
  <c r="J192" i="24" s="1"/>
  <c r="J206" i="24" s="1"/>
  <c r="J277" i="24"/>
  <c r="J249" i="24"/>
  <c r="K128" i="23"/>
  <c r="K131" i="23" s="1"/>
  <c r="J131" i="24"/>
  <c r="M236" i="23"/>
  <c r="M236" i="24"/>
  <c r="L86" i="24"/>
  <c r="K86" i="24"/>
  <c r="K88" i="24" s="1"/>
  <c r="M90" i="24"/>
  <c r="M139" i="23"/>
  <c r="M213" i="23"/>
  <c r="M90" i="23"/>
  <c r="M139" i="16"/>
  <c r="M246" i="23"/>
  <c r="M63" i="23"/>
  <c r="M273" i="24"/>
  <c r="M63" i="24"/>
  <c r="M246" i="24"/>
  <c r="M276" i="23"/>
  <c r="M246" i="16"/>
  <c r="M90" i="16"/>
  <c r="M139" i="24"/>
  <c r="M213" i="24"/>
  <c r="M273" i="23"/>
  <c r="M213" i="16"/>
  <c r="M276" i="24"/>
  <c r="H217" i="24"/>
  <c r="H219" i="24" s="1"/>
  <c r="H233" i="24" s="1"/>
  <c r="H277" i="24"/>
  <c r="H229" i="24"/>
  <c r="H249" i="24"/>
  <c r="H190" i="24"/>
  <c r="H192" i="24" s="1"/>
  <c r="H206" i="24" s="1"/>
  <c r="K127" i="16"/>
  <c r="K128" i="16" s="1"/>
  <c r="K131" i="16" s="1"/>
  <c r="L218" i="23"/>
  <c r="L218" i="24"/>
  <c r="I86" i="24"/>
  <c r="I88" i="24" s="1"/>
  <c r="E242" i="24"/>
  <c r="F240" i="24" s="1"/>
  <c r="E280" i="24"/>
  <c r="E252" i="24"/>
  <c r="E253" i="24" s="1"/>
  <c r="D252" i="24"/>
  <c r="D280" i="24"/>
  <c r="G232" i="24"/>
  <c r="H134" i="24"/>
  <c r="I130" i="24" s="1"/>
  <c r="I132" i="24" s="1"/>
  <c r="E241" i="23"/>
  <c r="E242" i="23" s="1"/>
  <c r="F240" i="23" s="1"/>
  <c r="D280" i="23"/>
  <c r="D252" i="23"/>
  <c r="G232" i="23"/>
  <c r="H134" i="23"/>
  <c r="I130" i="23" s="1"/>
  <c r="I132" i="23" s="1"/>
  <c r="K77" i="16"/>
  <c r="C77" i="16" s="1"/>
  <c r="C172" i="16"/>
  <c r="H192" i="16"/>
  <c r="H206" i="16" s="1"/>
  <c r="L262" i="16"/>
  <c r="M35" i="9"/>
  <c r="L218" i="16"/>
  <c r="M32" i="9"/>
  <c r="J81" i="16"/>
  <c r="J85" i="16" s="1"/>
  <c r="J86" i="16" s="1"/>
  <c r="J88" i="16" s="1"/>
  <c r="M276" i="16"/>
  <c r="M63" i="16"/>
  <c r="M273" i="16"/>
  <c r="M236" i="16"/>
  <c r="M41" i="9"/>
  <c r="L75" i="16"/>
  <c r="M33" i="9"/>
  <c r="L126" i="16"/>
  <c r="M31" i="9"/>
  <c r="L80" i="16"/>
  <c r="L81" i="16" s="1"/>
  <c r="M42" i="9"/>
  <c r="L84" i="16"/>
  <c r="M261" i="16"/>
  <c r="M198" i="16"/>
  <c r="L199" i="16"/>
  <c r="L204" i="16" s="1"/>
  <c r="C180" i="16"/>
  <c r="F234" i="16"/>
  <c r="F237" i="16" s="1"/>
  <c r="E192" i="16"/>
  <c r="E206" i="16" s="1"/>
  <c r="G219" i="16"/>
  <c r="G192" i="16"/>
  <c r="G206" i="16" s="1"/>
  <c r="D251" i="16"/>
  <c r="D279" i="16"/>
  <c r="C158" i="16"/>
  <c r="E219" i="16"/>
  <c r="D234" i="16"/>
  <c r="H233" i="16"/>
  <c r="G133" i="16"/>
  <c r="K278" i="16"/>
  <c r="K250" i="16"/>
  <c r="F279" i="16"/>
  <c r="I219" i="16"/>
  <c r="I192" i="16"/>
  <c r="I206" i="16" s="1"/>
  <c r="C86" i="24" l="1"/>
  <c r="L88" i="24"/>
  <c r="L128" i="23"/>
  <c r="L128" i="24"/>
  <c r="J211" i="24"/>
  <c r="J210" i="24"/>
  <c r="J231" i="24"/>
  <c r="J251" i="24"/>
  <c r="J279" i="24"/>
  <c r="F206" i="24"/>
  <c r="H231" i="24"/>
  <c r="H234" i="24" s="1"/>
  <c r="H237" i="24" s="1"/>
  <c r="H251" i="24"/>
  <c r="H211" i="24"/>
  <c r="H279" i="24"/>
  <c r="H210" i="24"/>
  <c r="M218" i="23"/>
  <c r="M218" i="24"/>
  <c r="F283" i="24"/>
  <c r="J85" i="23"/>
  <c r="J86" i="23" s="1"/>
  <c r="K229" i="24"/>
  <c r="K217" i="24"/>
  <c r="K219" i="24" s="1"/>
  <c r="K233" i="24" s="1"/>
  <c r="K190" i="24"/>
  <c r="K192" i="24" s="1"/>
  <c r="K206" i="24" s="1"/>
  <c r="K249" i="24"/>
  <c r="K277" i="24"/>
  <c r="L86" i="23"/>
  <c r="L88" i="23" s="1"/>
  <c r="L127" i="16"/>
  <c r="L128" i="16" s="1"/>
  <c r="L131" i="16" s="1"/>
  <c r="F233" i="24"/>
  <c r="L229" i="24"/>
  <c r="L217" i="24"/>
  <c r="L219" i="24" s="1"/>
  <c r="L233" i="24" s="1"/>
  <c r="L190" i="24"/>
  <c r="L192" i="24" s="1"/>
  <c r="L206" i="24" s="1"/>
  <c r="L249" i="24"/>
  <c r="L277" i="24"/>
  <c r="M75" i="23"/>
  <c r="M75" i="24"/>
  <c r="M80" i="23"/>
  <c r="M81" i="23" s="1"/>
  <c r="M80" i="24"/>
  <c r="M81" i="24" s="1"/>
  <c r="M84" i="23"/>
  <c r="M84" i="24"/>
  <c r="M126" i="24"/>
  <c r="M127" i="24" s="1"/>
  <c r="M128" i="24" s="1"/>
  <c r="M131" i="24" s="1"/>
  <c r="M126" i="23"/>
  <c r="M127" i="23" s="1"/>
  <c r="M128" i="23" s="1"/>
  <c r="M131" i="23" s="1"/>
  <c r="I249" i="24"/>
  <c r="I277" i="24"/>
  <c r="I190" i="24"/>
  <c r="I229" i="24"/>
  <c r="I217" i="24"/>
  <c r="I219" i="24" s="1"/>
  <c r="I233" i="24" s="1"/>
  <c r="I217" i="23"/>
  <c r="I277" i="23"/>
  <c r="I249" i="23"/>
  <c r="I229" i="23"/>
  <c r="I190" i="23"/>
  <c r="D253" i="24"/>
  <c r="D282" i="24"/>
  <c r="D281" i="24"/>
  <c r="E263" i="24"/>
  <c r="I133" i="24"/>
  <c r="G234" i="24"/>
  <c r="E281" i="24"/>
  <c r="E282" i="24"/>
  <c r="F241" i="23"/>
  <c r="F244" i="23" s="1"/>
  <c r="D281" i="23"/>
  <c r="D282" i="23"/>
  <c r="I133" i="23"/>
  <c r="E244" i="23"/>
  <c r="D253" i="23"/>
  <c r="G234" i="23"/>
  <c r="H231" i="16"/>
  <c r="I231" i="16"/>
  <c r="K81" i="16"/>
  <c r="K85" i="16" s="1"/>
  <c r="L86" i="16" s="1"/>
  <c r="L88" i="16" s="1"/>
  <c r="G231" i="16"/>
  <c r="G211" i="16"/>
  <c r="J249" i="16"/>
  <c r="J217" i="16"/>
  <c r="J229" i="16"/>
  <c r="J190" i="16"/>
  <c r="E231" i="16"/>
  <c r="E251" i="16"/>
  <c r="M262" i="16"/>
  <c r="M218" i="16"/>
  <c r="C113" i="16"/>
  <c r="M84" i="16"/>
  <c r="M80" i="16"/>
  <c r="M81" i="16" s="1"/>
  <c r="M133" i="16" s="1"/>
  <c r="M126" i="16"/>
  <c r="M127" i="16" s="1"/>
  <c r="M75" i="16"/>
  <c r="M199" i="16"/>
  <c r="I233" i="16"/>
  <c r="D237" i="16"/>
  <c r="G233" i="16"/>
  <c r="H251" i="16"/>
  <c r="H279" i="16"/>
  <c r="H211" i="16"/>
  <c r="H210" i="16"/>
  <c r="L250" i="16"/>
  <c r="L278" i="16"/>
  <c r="E233" i="16"/>
  <c r="J277" i="16"/>
  <c r="G136" i="16"/>
  <c r="G134" i="16"/>
  <c r="H130" i="16" s="1"/>
  <c r="H132" i="16" s="1"/>
  <c r="D283" i="24" l="1"/>
  <c r="K86" i="23"/>
  <c r="K88" i="23" s="1"/>
  <c r="K190" i="23"/>
  <c r="K192" i="23" s="1"/>
  <c r="K206" i="23" s="1"/>
  <c r="K277" i="23"/>
  <c r="K217" i="23"/>
  <c r="K219" i="23" s="1"/>
  <c r="K233" i="23" s="1"/>
  <c r="K229" i="23"/>
  <c r="K249" i="23"/>
  <c r="I219" i="23"/>
  <c r="K231" i="24"/>
  <c r="K251" i="24"/>
  <c r="K279" i="24"/>
  <c r="M133" i="24"/>
  <c r="M136" i="24" s="1"/>
  <c r="M232" i="24" s="1"/>
  <c r="M88" i="24"/>
  <c r="M133" i="23"/>
  <c r="M136" i="23" s="1"/>
  <c r="M232" i="23" s="1"/>
  <c r="M88" i="23"/>
  <c r="L131" i="24"/>
  <c r="C131" i="24" s="1"/>
  <c r="C128" i="24"/>
  <c r="L279" i="24"/>
  <c r="L251" i="24"/>
  <c r="L231" i="24"/>
  <c r="I192" i="24"/>
  <c r="C81" i="23"/>
  <c r="F231" i="24"/>
  <c r="F251" i="24"/>
  <c r="L131" i="23"/>
  <c r="C131" i="23" s="1"/>
  <c r="C128" i="23"/>
  <c r="I192" i="23"/>
  <c r="L217" i="23"/>
  <c r="L219" i="23" s="1"/>
  <c r="L233" i="23" s="1"/>
  <c r="L277" i="23"/>
  <c r="L249" i="23"/>
  <c r="L229" i="23"/>
  <c r="L190" i="23"/>
  <c r="L192" i="23" s="1"/>
  <c r="L206" i="23" s="1"/>
  <c r="J88" i="23"/>
  <c r="C86" i="23"/>
  <c r="C81" i="24"/>
  <c r="G237" i="24"/>
  <c r="D254" i="24"/>
  <c r="E254" i="24" s="1"/>
  <c r="D263" i="24"/>
  <c r="E283" i="24"/>
  <c r="I136" i="24"/>
  <c r="I134" i="24"/>
  <c r="J130" i="24" s="1"/>
  <c r="J132" i="24" s="1"/>
  <c r="I136" i="23"/>
  <c r="G237" i="23"/>
  <c r="D254" i="23"/>
  <c r="D263" i="23"/>
  <c r="D283" i="23"/>
  <c r="I134" i="23"/>
  <c r="J130" i="23" s="1"/>
  <c r="J132" i="23" s="1"/>
  <c r="E252" i="23"/>
  <c r="E280" i="23"/>
  <c r="F252" i="23"/>
  <c r="F253" i="23" s="1"/>
  <c r="F280" i="23"/>
  <c r="F242" i="23"/>
  <c r="G240" i="23" s="1"/>
  <c r="K86" i="16"/>
  <c r="K88" i="16" s="1"/>
  <c r="K217" i="16"/>
  <c r="L249" i="16"/>
  <c r="L217" i="16"/>
  <c r="L229" i="16"/>
  <c r="L190" i="16"/>
  <c r="M136" i="16"/>
  <c r="M232" i="16" s="1"/>
  <c r="M88" i="16"/>
  <c r="M204" i="16"/>
  <c r="C204" i="16" s="1"/>
  <c r="C199" i="16"/>
  <c r="C81" i="16"/>
  <c r="I251" i="16"/>
  <c r="I279" i="16"/>
  <c r="I211" i="16"/>
  <c r="I210" i="16"/>
  <c r="H133" i="16"/>
  <c r="G232" i="16"/>
  <c r="G234" i="16" s="1"/>
  <c r="G237" i="16" s="1"/>
  <c r="G251" i="16"/>
  <c r="G279" i="16"/>
  <c r="G210" i="16"/>
  <c r="M250" i="16"/>
  <c r="C250" i="16" s="1"/>
  <c r="M278" i="16"/>
  <c r="M128" i="16"/>
  <c r="M131" i="16" s="1"/>
  <c r="C131" i="16" s="1"/>
  <c r="L277" i="16"/>
  <c r="D241" i="16"/>
  <c r="K249" i="16" l="1"/>
  <c r="M229" i="24"/>
  <c r="C229" i="24" s="1"/>
  <c r="M217" i="24"/>
  <c r="M190" i="24"/>
  <c r="M249" i="24"/>
  <c r="C249" i="24" s="1"/>
  <c r="M277" i="24"/>
  <c r="C88" i="24"/>
  <c r="I206" i="24"/>
  <c r="F234" i="24"/>
  <c r="F237" i="24" s="1"/>
  <c r="M249" i="23"/>
  <c r="M277" i="23"/>
  <c r="M190" i="23"/>
  <c r="M192" i="23" s="1"/>
  <c r="M206" i="23" s="1"/>
  <c r="M229" i="23"/>
  <c r="M217" i="23"/>
  <c r="M219" i="23" s="1"/>
  <c r="M233" i="23" s="1"/>
  <c r="I206" i="23"/>
  <c r="K211" i="23"/>
  <c r="K210" i="23"/>
  <c r="K251" i="23"/>
  <c r="K279" i="23"/>
  <c r="K231" i="23"/>
  <c r="L279" i="23"/>
  <c r="L251" i="23"/>
  <c r="L231" i="23"/>
  <c r="L210" i="23"/>
  <c r="L211" i="23"/>
  <c r="C86" i="16"/>
  <c r="K277" i="16"/>
  <c r="K190" i="16"/>
  <c r="K229" i="16"/>
  <c r="J277" i="23"/>
  <c r="J249" i="23"/>
  <c r="C249" i="23" s="1"/>
  <c r="J190" i="23"/>
  <c r="J229" i="23"/>
  <c r="J217" i="23"/>
  <c r="C88" i="23"/>
  <c r="I233" i="23"/>
  <c r="I232" i="24"/>
  <c r="D264" i="24"/>
  <c r="J133" i="24"/>
  <c r="J136" i="24" s="1"/>
  <c r="J232" i="24" s="1"/>
  <c r="J234" i="24" s="1"/>
  <c r="J237" i="24" s="1"/>
  <c r="E253" i="23"/>
  <c r="E254" i="23" s="1"/>
  <c r="F254" i="23" s="1"/>
  <c r="J133" i="23"/>
  <c r="J134" i="23" s="1"/>
  <c r="K130" i="23" s="1"/>
  <c r="K132" i="23" s="1"/>
  <c r="D264" i="23"/>
  <c r="F263" i="23"/>
  <c r="G241" i="23"/>
  <c r="E282" i="23"/>
  <c r="E281" i="23"/>
  <c r="I232" i="23"/>
  <c r="M229" i="16"/>
  <c r="M249" i="16"/>
  <c r="M217" i="16"/>
  <c r="C217" i="16" s="1"/>
  <c r="M190" i="16"/>
  <c r="M192" i="16" s="1"/>
  <c r="M206" i="16" s="1"/>
  <c r="K219" i="16"/>
  <c r="K233" i="16" s="1"/>
  <c r="K192" i="16"/>
  <c r="K206" i="16" s="1"/>
  <c r="D242" i="16"/>
  <c r="E240" i="16" s="1"/>
  <c r="D244" i="16"/>
  <c r="M277" i="16"/>
  <c r="C88" i="16"/>
  <c r="L219" i="16"/>
  <c r="L192" i="16"/>
  <c r="L206" i="16" s="1"/>
  <c r="C128" i="16"/>
  <c r="E234" i="16"/>
  <c r="J219" i="16"/>
  <c r="H136" i="16"/>
  <c r="E279" i="16"/>
  <c r="J192" i="16"/>
  <c r="J206" i="16" s="1"/>
  <c r="H134" i="16"/>
  <c r="I130" i="16" s="1"/>
  <c r="I132" i="16" s="1"/>
  <c r="C249" i="16" l="1"/>
  <c r="C229" i="23"/>
  <c r="M192" i="24"/>
  <c r="C190" i="24"/>
  <c r="J192" i="23"/>
  <c r="C190" i="23"/>
  <c r="M279" i="23"/>
  <c r="M251" i="23"/>
  <c r="M231" i="23"/>
  <c r="M234" i="23" s="1"/>
  <c r="M237" i="23" s="1"/>
  <c r="M219" i="24"/>
  <c r="C217" i="24"/>
  <c r="J219" i="23"/>
  <c r="C217" i="23"/>
  <c r="I211" i="23"/>
  <c r="I251" i="23"/>
  <c r="I279" i="23"/>
  <c r="I231" i="23"/>
  <c r="I234" i="23" s="1"/>
  <c r="I237" i="23" s="1"/>
  <c r="I210" i="23"/>
  <c r="I251" i="24"/>
  <c r="I279" i="24"/>
  <c r="I210" i="24"/>
  <c r="I211" i="24"/>
  <c r="I231" i="24"/>
  <c r="M219" i="16"/>
  <c r="C219" i="16" s="1"/>
  <c r="F241" i="24"/>
  <c r="F244" i="24" s="1"/>
  <c r="F242" i="24"/>
  <c r="G240" i="24" s="1"/>
  <c r="G241" i="24" s="1"/>
  <c r="G244" i="24" s="1"/>
  <c r="J134" i="24"/>
  <c r="K130" i="24" s="1"/>
  <c r="K132" i="24" s="1"/>
  <c r="E264" i="24"/>
  <c r="E283" i="23"/>
  <c r="K133" i="23"/>
  <c r="K136" i="23" s="1"/>
  <c r="K232" i="23" s="1"/>
  <c r="K234" i="23" s="1"/>
  <c r="K237" i="23" s="1"/>
  <c r="D271" i="23"/>
  <c r="G244" i="23"/>
  <c r="G242" i="23"/>
  <c r="H240" i="23" s="1"/>
  <c r="J136" i="23"/>
  <c r="E263" i="23"/>
  <c r="E264" i="23" s="1"/>
  <c r="M231" i="16"/>
  <c r="K231" i="16"/>
  <c r="J231" i="16"/>
  <c r="L231" i="16"/>
  <c r="L210" i="16"/>
  <c r="L211" i="16"/>
  <c r="C229" i="16"/>
  <c r="C190" i="16"/>
  <c r="H232" i="16"/>
  <c r="H234" i="16" s="1"/>
  <c r="H237" i="16" s="1"/>
  <c r="E237" i="16"/>
  <c r="E241" i="16" s="1"/>
  <c r="K251" i="16"/>
  <c r="K279" i="16"/>
  <c r="K211" i="16"/>
  <c r="K210" i="16"/>
  <c r="L233" i="16"/>
  <c r="I133" i="16"/>
  <c r="I134" i="16" s="1"/>
  <c r="J130" i="16" s="1"/>
  <c r="J132" i="16" s="1"/>
  <c r="C192" i="16"/>
  <c r="J233" i="16"/>
  <c r="M233" i="16" l="1"/>
  <c r="C233" i="16" s="1"/>
  <c r="M233" i="24"/>
  <c r="C233" i="24" s="1"/>
  <c r="C219" i="24"/>
  <c r="I234" i="24"/>
  <c r="I237" i="24" s="1"/>
  <c r="J206" i="23"/>
  <c r="C192" i="23"/>
  <c r="G242" i="24"/>
  <c r="H240" i="24" s="1"/>
  <c r="H241" i="24" s="1"/>
  <c r="J233" i="23"/>
  <c r="C233" i="23" s="1"/>
  <c r="C219" i="23"/>
  <c r="M206" i="24"/>
  <c r="C192" i="24"/>
  <c r="F280" i="24"/>
  <c r="F252" i="24"/>
  <c r="F253" i="24" s="1"/>
  <c r="K133" i="24"/>
  <c r="K136" i="24" s="1"/>
  <c r="K232" i="24" s="1"/>
  <c r="K234" i="24" s="1"/>
  <c r="G252" i="24"/>
  <c r="J232" i="23"/>
  <c r="H241" i="23"/>
  <c r="H242" i="23" s="1"/>
  <c r="I240" i="23" s="1"/>
  <c r="I241" i="23" s="1"/>
  <c r="I244" i="23" s="1"/>
  <c r="E271" i="23"/>
  <c r="F264" i="23"/>
  <c r="K134" i="23"/>
  <c r="L130" i="23" s="1"/>
  <c r="L132" i="23" s="1"/>
  <c r="G252" i="23"/>
  <c r="J133" i="16"/>
  <c r="J136" i="16" s="1"/>
  <c r="J232" i="16" s="1"/>
  <c r="D252" i="16"/>
  <c r="D280" i="16"/>
  <c r="I136" i="16"/>
  <c r="M251" i="16"/>
  <c r="M279" i="16"/>
  <c r="L251" i="16"/>
  <c r="L279" i="16"/>
  <c r="M234" i="16" l="1"/>
  <c r="M237" i="16" s="1"/>
  <c r="M231" i="24"/>
  <c r="M251" i="24"/>
  <c r="C251" i="24" s="1"/>
  <c r="M279" i="24"/>
  <c r="C206" i="24"/>
  <c r="F263" i="24"/>
  <c r="F264" i="24" s="1"/>
  <c r="F254" i="24"/>
  <c r="J251" i="23"/>
  <c r="C251" i="23" s="1"/>
  <c r="J279" i="23"/>
  <c r="J210" i="23"/>
  <c r="J231" i="23"/>
  <c r="C231" i="23" s="1"/>
  <c r="J211" i="23"/>
  <c r="C206" i="23"/>
  <c r="G253" i="24"/>
  <c r="H244" i="24"/>
  <c r="K237" i="24"/>
  <c r="H242" i="24"/>
  <c r="I240" i="24" s="1"/>
  <c r="K134" i="24"/>
  <c r="L130" i="24" s="1"/>
  <c r="L132" i="24" s="1"/>
  <c r="I242" i="23"/>
  <c r="J240" i="23" s="1"/>
  <c r="F271" i="23"/>
  <c r="I252" i="23"/>
  <c r="I253" i="23" s="1"/>
  <c r="I280" i="23"/>
  <c r="H244" i="23"/>
  <c r="G253" i="23"/>
  <c r="L133" i="23"/>
  <c r="E242" i="16"/>
  <c r="F240" i="16" s="1"/>
  <c r="F241" i="16" s="1"/>
  <c r="F244" i="16" s="1"/>
  <c r="E244" i="16"/>
  <c r="D253" i="16"/>
  <c r="I232" i="16"/>
  <c r="I234" i="16" s="1"/>
  <c r="J134" i="16"/>
  <c r="K130" i="16" s="1"/>
  <c r="K132" i="16" s="1"/>
  <c r="J279" i="16"/>
  <c r="J251" i="16"/>
  <c r="J210" i="16"/>
  <c r="J211" i="16"/>
  <c r="C206" i="16"/>
  <c r="D281" i="16"/>
  <c r="D282" i="16"/>
  <c r="J234" i="16"/>
  <c r="J237" i="16" s="1"/>
  <c r="C231" i="16"/>
  <c r="J234" i="23" l="1"/>
  <c r="J237" i="23" s="1"/>
  <c r="C211" i="24"/>
  <c r="C210" i="24"/>
  <c r="M234" i="24"/>
  <c r="M237" i="24" s="1"/>
  <c r="C231" i="24"/>
  <c r="C211" i="23"/>
  <c r="C210" i="23"/>
  <c r="I241" i="24"/>
  <c r="I244" i="24" s="1"/>
  <c r="L133" i="24"/>
  <c r="H252" i="24"/>
  <c r="H280" i="24"/>
  <c r="G263" i="24"/>
  <c r="G254" i="24"/>
  <c r="G263" i="23"/>
  <c r="G254" i="23"/>
  <c r="I282" i="23"/>
  <c r="I281" i="23"/>
  <c r="I263" i="23"/>
  <c r="H252" i="23"/>
  <c r="H280" i="23"/>
  <c r="L136" i="23"/>
  <c r="C133" i="23"/>
  <c r="L134" i="23"/>
  <c r="M130" i="23" s="1"/>
  <c r="M132" i="23" s="1"/>
  <c r="M134" i="23" s="1"/>
  <c r="J241" i="23"/>
  <c r="J242" i="23"/>
  <c r="K240" i="23" s="1"/>
  <c r="D254" i="16"/>
  <c r="D283" i="16"/>
  <c r="F242" i="16"/>
  <c r="G240" i="16" s="1"/>
  <c r="G241" i="16" s="1"/>
  <c r="G242" i="16" s="1"/>
  <c r="H240" i="16" s="1"/>
  <c r="I237" i="16"/>
  <c r="C251" i="16"/>
  <c r="K133" i="16"/>
  <c r="D263" i="16"/>
  <c r="C210" i="16"/>
  <c r="C9" i="9" s="1"/>
  <c r="C211" i="16"/>
  <c r="C279" i="16"/>
  <c r="F280" i="16"/>
  <c r="F252" i="16"/>
  <c r="F253" i="16" s="1"/>
  <c r="I283" i="23" l="1"/>
  <c r="I242" i="24"/>
  <c r="J240" i="24" s="1"/>
  <c r="H282" i="24"/>
  <c r="H281" i="24"/>
  <c r="J241" i="24"/>
  <c r="J244" i="24" s="1"/>
  <c r="L136" i="24"/>
  <c r="C133" i="24"/>
  <c r="L134" i="24"/>
  <c r="M130" i="24" s="1"/>
  <c r="M132" i="24" s="1"/>
  <c r="M134" i="24" s="1"/>
  <c r="I252" i="24"/>
  <c r="I253" i="24" s="1"/>
  <c r="I280" i="24"/>
  <c r="H253" i="24"/>
  <c r="H254" i="24" s="1"/>
  <c r="G264" i="24"/>
  <c r="H253" i="23"/>
  <c r="H254" i="23" s="1"/>
  <c r="I254" i="23" s="1"/>
  <c r="H282" i="23"/>
  <c r="H281" i="23"/>
  <c r="H283" i="23" s="1"/>
  <c r="K241" i="23"/>
  <c r="K244" i="23" s="1"/>
  <c r="J244" i="23"/>
  <c r="L232" i="23"/>
  <c r="C136" i="23"/>
  <c r="C137" i="23" s="1"/>
  <c r="G264" i="23"/>
  <c r="F263" i="16"/>
  <c r="H241" i="16"/>
  <c r="H244" i="16" s="1"/>
  <c r="D264" i="16"/>
  <c r="D271" i="16" s="1"/>
  <c r="F282" i="16"/>
  <c r="F281" i="16"/>
  <c r="E280" i="16"/>
  <c r="E252" i="16"/>
  <c r="G244" i="16"/>
  <c r="K136" i="16"/>
  <c r="K134" i="16"/>
  <c r="L130" i="16" s="1"/>
  <c r="L132" i="16" s="1"/>
  <c r="K242" i="23" l="1"/>
  <c r="L240" i="23" s="1"/>
  <c r="H283" i="24"/>
  <c r="I254" i="24"/>
  <c r="J242" i="24"/>
  <c r="K240" i="24" s="1"/>
  <c r="I281" i="24"/>
  <c r="I282" i="24"/>
  <c r="L232" i="24"/>
  <c r="C136" i="24"/>
  <c r="C137" i="24" s="1"/>
  <c r="K241" i="24"/>
  <c r="K244" i="24" s="1"/>
  <c r="J252" i="24"/>
  <c r="J253" i="24" s="1"/>
  <c r="J280" i="24"/>
  <c r="H263" i="24"/>
  <c r="I263" i="24"/>
  <c r="J280" i="23"/>
  <c r="J252" i="23"/>
  <c r="K280" i="23"/>
  <c r="K252" i="23"/>
  <c r="K253" i="23" s="1"/>
  <c r="G271" i="23"/>
  <c r="L234" i="23"/>
  <c r="C232" i="23"/>
  <c r="H263" i="23"/>
  <c r="H264" i="23" s="1"/>
  <c r="G252" i="16"/>
  <c r="L133" i="16"/>
  <c r="F283" i="16"/>
  <c r="E253" i="16"/>
  <c r="E281" i="16"/>
  <c r="E282" i="16"/>
  <c r="K232" i="16"/>
  <c r="H252" i="16"/>
  <c r="H280" i="16"/>
  <c r="H242" i="16"/>
  <c r="I240" i="16" s="1"/>
  <c r="K242" i="24" l="1"/>
  <c r="L240" i="24" s="1"/>
  <c r="J282" i="24"/>
  <c r="J281" i="24"/>
  <c r="J263" i="24"/>
  <c r="K252" i="24"/>
  <c r="K253" i="24" s="1"/>
  <c r="K280" i="24"/>
  <c r="L234" i="24"/>
  <c r="C232" i="24"/>
  <c r="I283" i="24"/>
  <c r="H264" i="24"/>
  <c r="J254" i="24"/>
  <c r="I264" i="23"/>
  <c r="H271" i="23"/>
  <c r="L237" i="23"/>
  <c r="C234" i="23"/>
  <c r="K282" i="23"/>
  <c r="K281" i="23"/>
  <c r="K283" i="23" s="1"/>
  <c r="J253" i="23"/>
  <c r="K263" i="23"/>
  <c r="J281" i="23"/>
  <c r="J282" i="23"/>
  <c r="H253" i="16"/>
  <c r="L136" i="16"/>
  <c r="C133" i="16"/>
  <c r="L134" i="16"/>
  <c r="M130" i="16" s="1"/>
  <c r="M132" i="16" s="1"/>
  <c r="M134" i="16" s="1"/>
  <c r="E254" i="16"/>
  <c r="F254" i="16" s="1"/>
  <c r="H281" i="16"/>
  <c r="H282" i="16"/>
  <c r="G280" i="16"/>
  <c r="E283" i="16"/>
  <c r="K234" i="16"/>
  <c r="E263" i="16"/>
  <c r="I241" i="16"/>
  <c r="K254" i="24" l="1"/>
  <c r="J283" i="24"/>
  <c r="L237" i="24"/>
  <c r="C234" i="24"/>
  <c r="K282" i="24"/>
  <c r="K281" i="24"/>
  <c r="K263" i="24"/>
  <c r="I264" i="24"/>
  <c r="J263" i="23"/>
  <c r="J264" i="23" s="1"/>
  <c r="J254" i="23"/>
  <c r="K254" i="23" s="1"/>
  <c r="L241" i="23"/>
  <c r="L244" i="23" s="1"/>
  <c r="C237" i="23"/>
  <c r="J283" i="23"/>
  <c r="I271" i="23"/>
  <c r="H263" i="16"/>
  <c r="L232" i="16"/>
  <c r="C136" i="16"/>
  <c r="C137" i="16" s="1"/>
  <c r="I242" i="16"/>
  <c r="J240" i="16" s="1"/>
  <c r="J241" i="16" s="1"/>
  <c r="J244" i="16" s="1"/>
  <c r="I244" i="16"/>
  <c r="H283" i="16"/>
  <c r="K237" i="16"/>
  <c r="G281" i="16"/>
  <c r="G282" i="16"/>
  <c r="G253" i="16"/>
  <c r="E264" i="16"/>
  <c r="K283" i="24" l="1"/>
  <c r="J264" i="24"/>
  <c r="L241" i="24"/>
  <c r="L244" i="24" s="1"/>
  <c r="L242" i="24"/>
  <c r="M240" i="24" s="1"/>
  <c r="C237" i="24"/>
  <c r="J271" i="23"/>
  <c r="K264" i="23"/>
  <c r="L242" i="23"/>
  <c r="M240" i="23" s="1"/>
  <c r="L252" i="23"/>
  <c r="L253" i="23" s="1"/>
  <c r="L254" i="23" s="1"/>
  <c r="L280" i="23"/>
  <c r="G254" i="16"/>
  <c r="H254" i="16" s="1"/>
  <c r="F264" i="16"/>
  <c r="F271" i="16" s="1"/>
  <c r="E271" i="16"/>
  <c r="L234" i="16"/>
  <c r="C232" i="16"/>
  <c r="J242" i="16"/>
  <c r="K240" i="16" s="1"/>
  <c r="K241" i="16" s="1"/>
  <c r="K244" i="16" s="1"/>
  <c r="G283" i="16"/>
  <c r="G263" i="16"/>
  <c r="J280" i="16"/>
  <c r="J252" i="16"/>
  <c r="J253" i="16" s="1"/>
  <c r="L252" i="24" l="1"/>
  <c r="L253" i="24" s="1"/>
  <c r="L280" i="24"/>
  <c r="M241" i="24"/>
  <c r="M242" i="24"/>
  <c r="K264" i="24"/>
  <c r="G264" i="16"/>
  <c r="H264" i="16" s="1"/>
  <c r="H271" i="16" s="1"/>
  <c r="L263" i="23"/>
  <c r="L264" i="23" s="1"/>
  <c r="K271" i="23"/>
  <c r="L281" i="23"/>
  <c r="L282" i="23"/>
  <c r="M241" i="23"/>
  <c r="M242" i="23" s="1"/>
  <c r="J263" i="16"/>
  <c r="L237" i="16"/>
  <c r="C237" i="16" s="1"/>
  <c r="C234" i="16"/>
  <c r="J282" i="16"/>
  <c r="J281" i="16"/>
  <c r="K242" i="16"/>
  <c r="L240" i="16" s="1"/>
  <c r="I280" i="16"/>
  <c r="I252" i="16"/>
  <c r="G271" i="16" l="1"/>
  <c r="M244" i="24"/>
  <c r="C241" i="24"/>
  <c r="L281" i="24"/>
  <c r="L282" i="24"/>
  <c r="L263" i="24"/>
  <c r="L254" i="24"/>
  <c r="M244" i="23"/>
  <c r="C241" i="23"/>
  <c r="L283" i="23"/>
  <c r="L271" i="23"/>
  <c r="J283" i="16"/>
  <c r="I253" i="16"/>
  <c r="I282" i="16"/>
  <c r="I281" i="16"/>
  <c r="L241" i="16"/>
  <c r="L244" i="16" s="1"/>
  <c r="L264" i="24" l="1"/>
  <c r="L283" i="24"/>
  <c r="M252" i="24"/>
  <c r="M280" i="24"/>
  <c r="C244" i="24"/>
  <c r="M252" i="23"/>
  <c r="M280" i="23"/>
  <c r="C244" i="23"/>
  <c r="I254" i="16"/>
  <c r="J254" i="16" s="1"/>
  <c r="I283" i="16"/>
  <c r="L242" i="16"/>
  <c r="M240" i="16" s="1"/>
  <c r="M241" i="16" s="1"/>
  <c r="K252" i="16"/>
  <c r="K280" i="16"/>
  <c r="L252" i="16"/>
  <c r="L253" i="16" s="1"/>
  <c r="L280" i="16"/>
  <c r="I263" i="16"/>
  <c r="M281" i="24" l="1"/>
  <c r="M282" i="24"/>
  <c r="M253" i="24"/>
  <c r="C252" i="24"/>
  <c r="M281" i="23"/>
  <c r="M282" i="23"/>
  <c r="M253" i="23"/>
  <c r="C252" i="23"/>
  <c r="L263" i="16"/>
  <c r="M242" i="16"/>
  <c r="M244" i="16"/>
  <c r="I264" i="16"/>
  <c r="C241" i="16"/>
  <c r="K281" i="16"/>
  <c r="K282" i="16"/>
  <c r="L281" i="16"/>
  <c r="L282" i="16"/>
  <c r="K253" i="16"/>
  <c r="M263" i="24" l="1"/>
  <c r="C253" i="24"/>
  <c r="C256" i="24"/>
  <c r="C6" i="24" s="1"/>
  <c r="M254" i="24"/>
  <c r="M283" i="24"/>
  <c r="M263" i="23"/>
  <c r="C256" i="23"/>
  <c r="C6" i="23" s="1"/>
  <c r="C13" i="9" s="1"/>
  <c r="C253" i="23"/>
  <c r="M254" i="23"/>
  <c r="M283" i="23"/>
  <c r="K254" i="16"/>
  <c r="L254" i="16" s="1"/>
  <c r="J264" i="16"/>
  <c r="J271" i="16" s="1"/>
  <c r="I271" i="16"/>
  <c r="K283" i="16"/>
  <c r="L283" i="16"/>
  <c r="K263" i="16"/>
  <c r="K264" i="16" s="1"/>
  <c r="C263" i="24" l="1"/>
  <c r="C265" i="24"/>
  <c r="M264" i="24"/>
  <c r="C265" i="23"/>
  <c r="C263" i="23"/>
  <c r="M264" i="23"/>
  <c r="M271" i="23" s="1"/>
  <c r="C271" i="23" s="1"/>
  <c r="C8" i="23" s="1"/>
  <c r="L264" i="16"/>
  <c r="L271" i="16" s="1"/>
  <c r="K271" i="16"/>
  <c r="M280" i="16"/>
  <c r="M252" i="16"/>
  <c r="C244" i="16"/>
  <c r="C270" i="24" l="1"/>
  <c r="C7" i="24" s="1"/>
  <c r="C5" i="24"/>
  <c r="C270" i="23"/>
  <c r="C7" i="23" s="1"/>
  <c r="C5" i="23"/>
  <c r="C12" i="9" s="1"/>
  <c r="M282" i="16"/>
  <c r="M281" i="16"/>
  <c r="M253" i="16"/>
  <c r="C252" i="16"/>
  <c r="M254" i="16" l="1"/>
  <c r="M263" i="16"/>
  <c r="C253" i="16"/>
  <c r="C256" i="16"/>
  <c r="M283" i="16"/>
  <c r="C6" i="16" l="1"/>
  <c r="C5" i="9" s="1"/>
  <c r="M264" i="16"/>
  <c r="M271" i="16" s="1"/>
  <c r="C271" i="16" s="1"/>
  <c r="C265" i="16"/>
  <c r="C5" i="16" s="1"/>
  <c r="C4" i="9" s="1"/>
  <c r="C263" i="16"/>
  <c r="C8" i="16" l="1"/>
  <c r="C270" i="16"/>
  <c r="C7" i="16" l="1"/>
  <c r="C271" i="24" l="1"/>
  <c r="C8" i="24"/>
</calcChain>
</file>

<file path=xl/sharedStrings.xml><?xml version="1.0" encoding="utf-8"?>
<sst xmlns="http://schemas.openxmlformats.org/spreadsheetml/2006/main" count="774" uniqueCount="257">
  <si>
    <t>Contact</t>
  </si>
  <si>
    <t>Purpose</t>
  </si>
  <si>
    <t>Discount Rate</t>
  </si>
  <si>
    <t>Audits</t>
  </si>
  <si>
    <t>Yet to be completed</t>
  </si>
  <si>
    <t>Cashstream 1: Production and Revenue</t>
  </si>
  <si>
    <t>units</t>
  </si>
  <si>
    <t>Total</t>
  </si>
  <si>
    <t>Production</t>
  </si>
  <si>
    <t>Contained gold mined</t>
  </si>
  <si>
    <t>% of contained gold</t>
  </si>
  <si>
    <t>Gold produced</t>
  </si>
  <si>
    <t>Sales</t>
  </si>
  <si>
    <t>weeks</t>
  </si>
  <si>
    <t>Gold sold</t>
  </si>
  <si>
    <t>Revenue</t>
  </si>
  <si>
    <t>Explaining the Protocols - Ignore this</t>
  </si>
  <si>
    <t>This section is used to explain the spreadsheet formatting on the Introduction worksheet.</t>
  </si>
  <si>
    <t>Gold Revenue</t>
  </si>
  <si>
    <t>Debtors</t>
  </si>
  <si>
    <t>days</t>
  </si>
  <si>
    <t>Debtors - Closing</t>
  </si>
  <si>
    <t>Cashstream 2: Capital Costs</t>
  </si>
  <si>
    <t>Tax deductions for Capital Expenditure</t>
  </si>
  <si>
    <t>Tax Deduction for Capital Expenditure</t>
  </si>
  <si>
    <t>Cashstream 3: Operating Costs</t>
  </si>
  <si>
    <t>mining cost per tonne</t>
  </si>
  <si>
    <t>Cashstream 4: Taxes</t>
  </si>
  <si>
    <t>Government Royaties</t>
  </si>
  <si>
    <t>State Royalty</t>
  </si>
  <si>
    <t>less</t>
  </si>
  <si>
    <t>Company Income Tax</t>
  </si>
  <si>
    <t>Assessable Income</t>
  </si>
  <si>
    <t>Income tax payment</t>
  </si>
  <si>
    <t>Discount Factor</t>
  </si>
  <si>
    <t>Company Income Tax  Rate</t>
  </si>
  <si>
    <t>% of assessable income</t>
  </si>
  <si>
    <t>% of revenue</t>
  </si>
  <si>
    <t>Cashflow if positive</t>
  </si>
  <si>
    <t>Cashflow Deficit</t>
  </si>
  <si>
    <t>Cashlows</t>
  </si>
  <si>
    <t>Cash Flow</t>
  </si>
  <si>
    <t>Warnings</t>
  </si>
  <si>
    <t xml:space="preserve">Self audit </t>
  </si>
  <si>
    <t xml:space="preserve">external peer </t>
  </si>
  <si>
    <t>% silver</t>
  </si>
  <si>
    <t>% Real</t>
  </si>
  <si>
    <t>000 dry tonnes</t>
  </si>
  <si>
    <t>Feasibility study</t>
  </si>
  <si>
    <t>Initial capex</t>
  </si>
  <si>
    <t>Initial Capex</t>
  </si>
  <si>
    <t>Ongoing Capex</t>
  </si>
  <si>
    <t>% of initial capex</t>
  </si>
  <si>
    <t>Sustaining capex</t>
  </si>
  <si>
    <t>% diminishing value</t>
  </si>
  <si>
    <t>Undeducted capex - opening balance</t>
  </si>
  <si>
    <t>Undeducted capex - available for deduction</t>
  </si>
  <si>
    <t>Undeducted capex - closing balance</t>
  </si>
  <si>
    <t>Waste removed</t>
  </si>
  <si>
    <t>Gold price forecast</t>
  </si>
  <si>
    <t>Ore production</t>
  </si>
  <si>
    <t>waste cost per tonne</t>
  </si>
  <si>
    <t>waste opex</t>
  </si>
  <si>
    <t>ore opex</t>
  </si>
  <si>
    <t>mining opex</t>
  </si>
  <si>
    <t>Mining</t>
  </si>
  <si>
    <t>Processing</t>
  </si>
  <si>
    <t>General &amp; Administration</t>
  </si>
  <si>
    <t>Income Tax Liability</t>
  </si>
  <si>
    <t>income tax liability - opening balance</t>
  </si>
  <si>
    <t>Undeducted capex - added to pool</t>
  </si>
  <si>
    <t>Base Case</t>
  </si>
  <si>
    <t>Cashstream 1: Revenue - Base Case</t>
  </si>
  <si>
    <t>Cashstream 2: Capital Costs - Base Case</t>
  </si>
  <si>
    <t>Cashstream 3: Operating Costs - Base Case</t>
  </si>
  <si>
    <t>Cashstream 4: Taxes - Base Case</t>
  </si>
  <si>
    <t>IRR - Base Case</t>
  </si>
  <si>
    <t>Discounted Cashflow - Base Case</t>
  </si>
  <si>
    <t>Cumulative NPV - Base Case</t>
  </si>
  <si>
    <t>NPV - Base Case</t>
  </si>
  <si>
    <t>mining fixed costs - rate</t>
  </si>
  <si>
    <t>mining fixed costs</t>
  </si>
  <si>
    <t>site preparation</t>
  </si>
  <si>
    <t>gold plant</t>
  </si>
  <si>
    <t xml:space="preserve">infrastructure </t>
  </si>
  <si>
    <t>services</t>
  </si>
  <si>
    <t>epcm</t>
  </si>
  <si>
    <t>water supply upgrade</t>
  </si>
  <si>
    <t>ongoing capex</t>
  </si>
  <si>
    <t>processing opex</t>
  </si>
  <si>
    <t>processing opex - gold</t>
  </si>
  <si>
    <t>processing opex - ore</t>
  </si>
  <si>
    <t>processing cost per tonne - rate</t>
  </si>
  <si>
    <t>processing fixed costs - rate</t>
  </si>
  <si>
    <t>processing fixed costs</t>
  </si>
  <si>
    <t>G&amp;A cost per tonne - rate</t>
  </si>
  <si>
    <t>G&amp;A opex - ore</t>
  </si>
  <si>
    <t>G&amp;A fixed costs - rate</t>
  </si>
  <si>
    <t>G&amp;A fixed costs</t>
  </si>
  <si>
    <t>Private Royalties</t>
  </si>
  <si>
    <t>Private Royalty - GFD</t>
  </si>
  <si>
    <t>% of gross revenue</t>
  </si>
  <si>
    <t xml:space="preserve">Ore and gold stocks - equivalent </t>
  </si>
  <si>
    <t>000 ounces</t>
  </si>
  <si>
    <t>Increase in Debtors</t>
  </si>
  <si>
    <t>grams gold/tonne</t>
  </si>
  <si>
    <t>Head grade - gold</t>
  </si>
  <si>
    <t>opex including gov't royalty</t>
  </si>
  <si>
    <t>Processing recovery - gold</t>
  </si>
  <si>
    <t>This 'Worked Example' illustrates how to evaluate alternatives as described in the website www.econonomicevaluation.com.au</t>
  </si>
  <si>
    <t>This worked example is an illustration. Assume it has not been properly audited and should be checked before being used.</t>
  </si>
  <si>
    <r>
      <rPr>
        <b/>
        <sz val="10"/>
        <color theme="1"/>
        <rFont val="Calibri"/>
        <family val="2"/>
        <scheme val="minor"/>
      </rPr>
      <t>Column B</t>
    </r>
    <r>
      <rPr>
        <sz val="10"/>
        <color theme="1"/>
        <rFont val="Calibri"/>
        <family val="2"/>
        <scheme val="minor"/>
      </rPr>
      <t xml:space="preserve"> is used for units - which are in full words and not abbreviations "millions dry tonnes" not "Mdt"</t>
    </r>
  </si>
  <si>
    <t>NPV / Initial Capex</t>
  </si>
  <si>
    <t>Other Useful Metrics</t>
  </si>
  <si>
    <t xml:space="preserve">Payback in Real terms </t>
  </si>
  <si>
    <t>Years from Day 1</t>
  </si>
  <si>
    <t>stocks - equivalent</t>
  </si>
  <si>
    <t>contingency</t>
  </si>
  <si>
    <t>sustaining capex - rate</t>
  </si>
  <si>
    <t>inflation factor</t>
  </si>
  <si>
    <t>Capex - NOMINAL terms</t>
  </si>
  <si>
    <t>Erosion of capex deductions by inflation</t>
  </si>
  <si>
    <t>extraction cost per ounce of gold produced - rate</t>
  </si>
  <si>
    <t>US$/ounce Real</t>
  </si>
  <si>
    <t>US$ 000 Real</t>
  </si>
  <si>
    <t>Exchange rate</t>
  </si>
  <si>
    <t>A$1.00 = US$....</t>
  </si>
  <si>
    <t>External parameters</t>
  </si>
  <si>
    <t>This pink font shows this data needs checking/revising</t>
  </si>
  <si>
    <t>US$ 000</t>
  </si>
  <si>
    <t>Rehab &amp; Closure</t>
  </si>
  <si>
    <t>Rehab</t>
  </si>
  <si>
    <t>Closure cost - rate</t>
  </si>
  <si>
    <t>Closure cost</t>
  </si>
  <si>
    <t>Mining fleet</t>
  </si>
  <si>
    <t>recovery in processing</t>
  </si>
  <si>
    <t xml:space="preserve">23May15: P Card: NPV and IRR are key metrics but you should use a basket of measures, including these two, as explained on the website. </t>
  </si>
  <si>
    <t>Data for the above graph of four cash streams</t>
  </si>
  <si>
    <t>Common Inputs</t>
  </si>
  <si>
    <t>Discount Rate - gold industry adjusted for the Company</t>
  </si>
  <si>
    <t>Low Capex Case</t>
  </si>
  <si>
    <t>Cashstream 1: Revenue - Low Capex Case</t>
  </si>
  <si>
    <t>Cashstream 2: Capital Costs - Low Capex Case</t>
  </si>
  <si>
    <t>Cashstream 3: Operating Costs - Low Capex Case</t>
  </si>
  <si>
    <t>Cashstream 4: Taxes - Low Capex Case</t>
  </si>
  <si>
    <t>IRR - Low Capex Case</t>
  </si>
  <si>
    <t>Discounted Cashflow - Low Capex Case</t>
  </si>
  <si>
    <t>Cumulative NPV - Low Capex Case</t>
  </si>
  <si>
    <t>NPV - Low Capex Case</t>
  </si>
  <si>
    <t>It is very easy to add more alternatives (simply copy the Base Case and modify it) and to delete any unwanted cases.</t>
  </si>
  <si>
    <t>Cashstream 1: Revenue - High Grading Case</t>
  </si>
  <si>
    <t>Cashstream 2: Capital Costs - High Grading Case</t>
  </si>
  <si>
    <t>Cashstream 3: Operating Costs - High Grading Case</t>
  </si>
  <si>
    <t>Cashstream 4: Taxes - High Grading Case</t>
  </si>
  <si>
    <t>IRR - High Grading Case</t>
  </si>
  <si>
    <t>Discounted Cashflow - High Grading Case</t>
  </si>
  <si>
    <t>Cumulative NPV - High Grading Case</t>
  </si>
  <si>
    <t>NPV - High Grading Case</t>
  </si>
  <si>
    <t xml:space="preserve">Peter Card </t>
  </si>
  <si>
    <t>Read this first</t>
  </si>
  <si>
    <t>Peter Card</t>
  </si>
  <si>
    <t>This worked example is an illustration. Assume it may have errors, has not been properly audited and should be checked before being used.</t>
  </si>
  <si>
    <t>Understanding the colours and layout is easy!</t>
  </si>
  <si>
    <t>1. Blue = Data Inputs: -</t>
  </si>
  <si>
    <t>Blue font means this is new input data.   (Every item of fresh input data is visually and obviously exposed in a cell.  Input data is never covertly entered into an algorithm.)</t>
  </si>
  <si>
    <t>13 Aug 2025  S White,  "Sales Plan  for Copper Operations to 2035"</t>
  </si>
  <si>
    <t>The source of this data - date, person and document - is clearly visible in the row immediately above. Not as a hidden cell note.</t>
  </si>
  <si>
    <t>Pink font means that this input needs checking</t>
  </si>
  <si>
    <t>2. Green = Data from other worksheets</t>
  </si>
  <si>
    <t>Green font means this row of items is referenced across from another Worksheet in this Workbook</t>
  </si>
  <si>
    <t>To reduce errors and to speed up worksheet construction, the entire Row is referenced across.  Not just the one cell needed.</t>
  </si>
  <si>
    <t>This will ensure that if a referenced cell is in Column F in the source Worksheet then it appears in the same Column (F) in this Worksheet.  (Important discipline for checking/auditing)</t>
  </si>
  <si>
    <t>Importantly, it means that if 2028 is in column F in one worksheet then it is in column F in every other worksheet  (Reduces errors)</t>
  </si>
  <si>
    <t>3. Black = Algorithms</t>
  </si>
  <si>
    <t xml:space="preserve">&lt;-- Black font means this is an algorithm.  </t>
  </si>
  <si>
    <t>4. Italics = nominal dollars</t>
  </si>
  <si>
    <t>This website uses italics for nominal terms data and vertical font for real terms data</t>
  </si>
  <si>
    <t>Worksheet Architecture</t>
  </si>
  <si>
    <r>
      <rPr>
        <b/>
        <sz val="10"/>
        <color theme="1"/>
        <rFont val="Calibri"/>
        <family val="2"/>
        <scheme val="minor"/>
      </rPr>
      <t>Cloumn A</t>
    </r>
    <r>
      <rPr>
        <sz val="10"/>
        <color theme="1"/>
        <rFont val="Calibri"/>
        <family val="2"/>
        <scheme val="minor"/>
      </rPr>
      <t xml:space="preserve"> is used for descriptors.  It is not left blank as an indent</t>
    </r>
  </si>
  <si>
    <r>
      <rPr>
        <b/>
        <sz val="10"/>
        <color theme="1"/>
        <rFont val="Calibri"/>
        <family val="2"/>
        <scheme val="minor"/>
      </rPr>
      <t>Column C</t>
    </r>
    <r>
      <rPr>
        <sz val="10"/>
        <color theme="1"/>
        <rFont val="Calibri"/>
        <family val="2"/>
        <scheme val="minor"/>
      </rPr>
      <t xml:space="preserve"> is for totals (and averages).  These must be completed as checks on input data and results</t>
    </r>
  </si>
  <si>
    <r>
      <rPr>
        <b/>
        <sz val="10"/>
        <color theme="1"/>
        <rFont val="Calibri"/>
        <family val="2"/>
        <scheme val="minor"/>
      </rPr>
      <t>Column D</t>
    </r>
    <r>
      <rPr>
        <sz val="10"/>
        <color theme="1"/>
        <rFont val="Calibri"/>
        <family val="2"/>
        <scheme val="minor"/>
      </rPr>
      <t xml:space="preserve"> is where the years, quarters, months begin --------&gt;</t>
    </r>
  </si>
  <si>
    <t>Summary of Results</t>
  </si>
  <si>
    <t>Life of Business</t>
  </si>
  <si>
    <t xml:space="preserve">A simple gold mine is easy to follow. </t>
  </si>
  <si>
    <t>This evaluation has a base case and compares two alternatives business strategies</t>
  </si>
  <si>
    <t>23May2025 R Cummins: Company inflation rate forecast</t>
  </si>
  <si>
    <t>23Apr2025 R Cummins email attachment: Company gold price, forex and inflation forecasts.</t>
  </si>
  <si>
    <t>2Apr2025 SA State Government website: Royalty on gold is 3% of gross revenue; paid monthly</t>
  </si>
  <si>
    <t>23Apr2025 J Gomachie: "Sales Plan: Jan2015" The ROM ore stocks, gold in circuit and gold awaiting despatch equate to approximately 5 weeks of production.  And debtor estimates = 30 days</t>
  </si>
  <si>
    <t xml:space="preserve">17Apr2025 F Green email: discount rate for investment in gold industry is 8% Real. </t>
  </si>
  <si>
    <t xml:space="preserve">Inflation rate </t>
  </si>
  <si>
    <t>2Apr2025 National Tax Office website:  Income tax rate for companies is 30%</t>
  </si>
  <si>
    <t>US$ 000 NOMINAL</t>
  </si>
  <si>
    <t>US$ Real/ tonne ore</t>
  </si>
  <si>
    <t>US$ 000/annum  Real</t>
  </si>
  <si>
    <t>US$ Real/ ounce gold</t>
  </si>
  <si>
    <t>US$ Real/ tonne ore or waste</t>
  </si>
  <si>
    <t xml:space="preserve">28Apr2025 M Santos production plan "Mine Plan 12 March 2025".  </t>
  </si>
  <si>
    <r>
      <t xml:space="preserve">Debtors </t>
    </r>
    <r>
      <rPr>
        <b/>
        <sz val="10"/>
        <color rgb="FF0070C0"/>
        <rFont val="Calibri"/>
        <family val="2"/>
      </rPr>
      <t>(who owe you cash)</t>
    </r>
  </si>
  <si>
    <t>10Apr2025 G Davies "Initial Capital Cost: Preliminary Estimate Version B"</t>
  </si>
  <si>
    <t>28Apr2025 V Santos email estimate of ongoing capex</t>
  </si>
  <si>
    <t>5May2025 Peter: There are two approaches to the computations below.  If the evaluation is coarse and inflation is low then computations can be in Real terms.  But if not then it may be best to compute in NOMINAL terms and convert back to Real.</t>
  </si>
  <si>
    <t>5May2025 Peter: The computation of income tax deductions for capex must follow the laws of the country.  They usually will be different from the 'accounting depreciation' used in the company's Accounts.  So do not use accounting methods here, like prorata with the output sold or with tonnes processed over the life of mine, unless that is the tax law.</t>
  </si>
  <si>
    <t>5May2025 Peter: If each class of expenditure is done exactly according to country laws, these computations are likely to take many, many rows.   But this is not fit for purpose as its precision is far too high for this level of study.  It would be unnecessary, trivial and wasteful.  (Do not compute those big triangular shaped matrices.)</t>
  </si>
  <si>
    <t>5May2025 Peter:  Instead use a simple pool and diminishing value method.  This will match the accuracy of the Study and take just a few rows.  This is a suitable proxy for straight line deductions if the rate is increased by 50% or 100%.  For example straight line over 10 years is 10% so for diminishing value method use 10% *150% = 15%   or 10% * 200% = 20%.</t>
  </si>
  <si>
    <t xml:space="preserve">27Apr2025 Peter: The country's tax legislation shows that the bulk of the above capex can be deducted over 5 years straight line and the rest mainly over 10 years.  So in the calculations below pool all capex and take approx weighted average rate of 6 years.  Use a diminishing value rate of [100% / 6 years] *150% = 25% . </t>
  </si>
  <si>
    <t>27Apr2025 Peter: The country's tax legislation is that deductions can start with commercial production and that capex can start being deducted in the year in which it is spent.</t>
  </si>
  <si>
    <t>5May2025 Peter:  : Look inside this cell to see the logic!</t>
  </si>
  <si>
    <t>23May2025 R Cummins: The Company has already spent A$2.5 million on this project which has not been deducted for income tax and which is valid to deduct from future revenue for income tax.</t>
  </si>
  <si>
    <t>Nominal terms tax deduction for capital expenditure</t>
  </si>
  <si>
    <t>Real terms tax deduction for capital expenditure</t>
  </si>
  <si>
    <t xml:space="preserve">5Apr2025 G Dyson "Mining Cost Estimate: Base Case." </t>
  </si>
  <si>
    <t xml:space="preserve">5May2025 G Dawson "Operating Cost Estimate: Indicative Estimates." </t>
  </si>
  <si>
    <t>Fixed Costs</t>
  </si>
  <si>
    <t>5 May2025 G Dawson email with prelim estimate which needs confirmation</t>
  </si>
  <si>
    <t xml:space="preserve">Peter: I usually include private royalties in 'Operating Costs' and government royalties in "Taxes", but some industry groups put all royalties in operating costs. </t>
  </si>
  <si>
    <t xml:space="preserve">Peter: To be useful the operating costs usually need to be split into fixed and variable costs for each major stage.  </t>
  </si>
  <si>
    <t xml:space="preserve">Peter: Match the detail in these fixed and variable operating costs with their materiality.  In Scoping and PreFeasibility Studies the operating costs may be collated into a few broad natural groups.  (Do not get trapped into modelling the all myriad of intellectually satisfying detail that you get to understand but which has minimal impact. &lt;- easy to get sucked down to the bottom)  </t>
  </si>
  <si>
    <t>Peter: Usually operating costs for each activity are related to the quantities for that activity - as below.  Be very wary of operating cost estimates that are based on the final quantities of product each year - You probably will need to reject these and back compute your own cost relationships with help of experts.</t>
  </si>
  <si>
    <t>opex before Government royalty &amp; taxes per ounce</t>
  </si>
  <si>
    <t>Operating costs and Royalties per ounce</t>
  </si>
  <si>
    <t>5May2025 F Vectora:  The previous leaseholders, GFD Mining Ltd, have a royalty of 1.25% of gross revenue.</t>
  </si>
  <si>
    <t>27Apr2025 G Marina email with prelim estimates</t>
  </si>
  <si>
    <t>Peter: The next rows are essential to understand the business.  How far below the selling price are the operating costs including gov't royalties.  How close doe it come to bleeding cash in any year? - see in graph above</t>
  </si>
  <si>
    <t>2Apr2025 R Torply:State Royalty is 3% of revenue; paid monthly</t>
  </si>
  <si>
    <t>Peter: Here the income tax is computed in real terms (so the deductions for capex do not recognise their erosion by inflation) and the operating costs are deducted when spent as cash.</t>
  </si>
  <si>
    <t>Peter: The computation of income tax must follow the laws of the country.  Usually, it will be different from the 'accounting profit" methodology used by the Company.  So do not confuse the two.  (The Company balance sheet will show how they are differing each year but their aggregates should be similar over the life of the mine.)</t>
  </si>
  <si>
    <t>Peter: This model is not being used to file a tax return so do  not take many, many rows to compute exactly according to country laws.  This would not be fit for purpose: it would waste your time and the time of anyone reading your model</t>
  </si>
  <si>
    <t>Peter: Instead use a broad method that should get correct totals over the life of mine and vary slightly on year to year timing.  Match the accuracy to the level of the Study.  Tax usually is a secondary level impact and much less important than the key assuptions of price, production rate, initial capex and operating costs.</t>
  </si>
  <si>
    <t>Peter: As the Study progresses income tax may need to be computed in nominal terms and the result converted to real terms.  The 'cost of goods sold' may need to be computed and substitute for the operating costs in cash.  (This would recognise the erosion of deductions by inflation and the impact of product stockpiles.)</t>
  </si>
  <si>
    <t>23Jun2025  Chiong Lee:  "… the country law is that the company income tax rate is 30%, tax losses can be carried forward but not backwards and the cash payment of tax averages in the middle of that year. "</t>
  </si>
  <si>
    <t>25Jan2025 R Torply:  Negative tax cannot be used by the company but needs to be carried forward.  Any tax losses after closure will be lost</t>
  </si>
  <si>
    <t>income tax liability - closing balance</t>
  </si>
  <si>
    <r>
      <t xml:space="preserve">P  Card:  Here the income tax </t>
    </r>
    <r>
      <rPr>
        <b/>
        <sz val="10"/>
        <color theme="9" tint="-0.249977111117893"/>
        <rFont val="Calibri"/>
        <family val="2"/>
        <scheme val="minor"/>
      </rPr>
      <t>paymen</t>
    </r>
    <r>
      <rPr>
        <sz val="10"/>
        <color theme="9" tint="-0.249977111117893"/>
        <rFont val="Calibri"/>
        <family val="2"/>
        <scheme val="minor"/>
      </rPr>
      <t xml:space="preserve">t is greater than the computed tax </t>
    </r>
    <r>
      <rPr>
        <b/>
        <sz val="10"/>
        <color theme="9" tint="-0.249977111117893"/>
        <rFont val="Calibri"/>
        <family val="2"/>
        <scheme val="minor"/>
      </rPr>
      <t>liability</t>
    </r>
    <r>
      <rPr>
        <sz val="10"/>
        <color theme="9" tint="-0.249977111117893"/>
        <rFont val="Calibri"/>
        <family val="2"/>
        <scheme val="minor"/>
      </rPr>
      <t xml:space="preserve"> over the life of mine.  This is because the legislation states that undeducted capex in the pool on closure cannot be carried back.</t>
    </r>
  </si>
  <si>
    <t>Internal Rate of Return  "IRR"</t>
  </si>
  <si>
    <r>
      <t xml:space="preserve">P Card: Selecting the discount rate is a sophisticated activity that needs to be performed by an expert in financial theory.  It might be approximated by the 'weighted cost of capital' </t>
    </r>
    <r>
      <rPr>
        <u/>
        <sz val="10"/>
        <color theme="9" tint="-0.249977111117893"/>
        <rFont val="Calibri"/>
        <family val="2"/>
        <scheme val="minor"/>
      </rPr>
      <t>for that industry adjusted for your company</t>
    </r>
    <r>
      <rPr>
        <sz val="10"/>
        <color theme="9" tint="-0.249977111117893"/>
        <rFont val="Calibri"/>
        <family val="2"/>
        <scheme val="minor"/>
      </rPr>
      <t>: but is a lot deeper.</t>
    </r>
  </si>
  <si>
    <t xml:space="preserve"> P  Card:  Do not use the Excel function for NPV because: 1. It is not open and transparent: others cannot see and check the discount factor year by year, and 2. too many people have got it wrong.</t>
  </si>
  <si>
    <t>P  Card:  NPV is not a true, objective and absolute measure.  It is no more than the mathematical combination of a whole raft of personal opinions by experts and others.  (NPV is in Day 1 dollars so does not have the label 'Real' or 'Nominal'.)</t>
  </si>
  <si>
    <t>Discounted Cashflow "NPV"</t>
  </si>
  <si>
    <t>P  Card:  Warning: If anyone tries to claim that NPV can be materially increased by using debt financing they possibly do not understand financial theory.</t>
  </si>
  <si>
    <t>Key Metrics</t>
  </si>
  <si>
    <t>Key Production Results</t>
  </si>
  <si>
    <t>Key Cashflow Results</t>
  </si>
  <si>
    <t>Key Cost Results</t>
  </si>
  <si>
    <t>10May2025 G Davies "Capital Cost: Low Capex Case"</t>
  </si>
  <si>
    <t xml:space="preserve">5Apr2025 G Dyson "Mining Cost Estimate: Low Capex Case." </t>
  </si>
  <si>
    <t xml:space="preserve">5May2025 G Dawson "Operating Cost Estimate: Low Capex CaseIndicative Estimates." </t>
  </si>
  <si>
    <t xml:space="preserve">5Apr2025 G Dyson "Mining Cost Estimate: High Grading Case." </t>
  </si>
  <si>
    <t>High Grading --&gt; Short Life Case</t>
  </si>
  <si>
    <t>Cash Generation - Base Case</t>
  </si>
  <si>
    <t>Cumulative Cash Generation - Base Case</t>
  </si>
  <si>
    <t>Cash Generation and NPV</t>
  </si>
  <si>
    <t>Cash Generation - High Grading Case</t>
  </si>
  <si>
    <t>Cumulative Cash Generation - High Grading Case</t>
  </si>
  <si>
    <t>Cash Generation - Low Capex Case</t>
  </si>
  <si>
    <t>Cumulative Cash Generation - Low Capex Case</t>
  </si>
  <si>
    <r>
      <rPr>
        <sz val="14"/>
        <color rgb="FF0000FF"/>
        <rFont val="Arial"/>
        <family val="2"/>
      </rPr>
      <t>Worked Example -</t>
    </r>
    <r>
      <rPr>
        <sz val="16"/>
        <color indexed="12"/>
        <rFont val="Arial"/>
        <family val="2"/>
      </rPr>
      <t xml:space="preserve"> Comparing Three Alternatives - </t>
    </r>
    <r>
      <rPr>
        <sz val="12"/>
        <color rgb="FF0000FF"/>
        <rFont val="Arial"/>
        <family val="2"/>
      </rPr>
      <t>www.economicevaluation.com.au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</si>
</sst>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4" formatCode="_-&quot;$&quot;* #,##0.00_-;\-&quot;$&quot;* #,##0.00_-;_-&quot;$&quot;* &quot;-&quot;??_-;_-@_-"/>
    <numFmt numFmtId="164" formatCode="0.0%"/>
    <numFmt numFmtId="165" formatCode="0.0"/>
    <numFmt numFmtId="166" formatCode="#,##0.0"/>
    <numFmt numFmtId="167" formatCode="#,##0.0;[Red]\-#,##0.0"/>
    <numFmt numFmtId="168" formatCode="_-&quot;$&quot;* #,##0_-;\-&quot;$&quot;* #,##0_-;_-&quot;$&quot;* &quot;-&quot;??_-;_-@_-"/>
  </numFmts>
  <fonts count="71" x14ac:knownFonts="1">
    <font>
      <sz val="11"/>
      <color theme="1"/>
      <name val="Calibri"/>
      <family val="2"/>
      <scheme val="minor"/>
    </font>
    <font>
      <sz val="10"/>
      <color indexed="12"/>
      <name val="Arial"/>
      <family val="2"/>
    </font>
    <font>
      <sz val="11"/>
      <color theme="1"/>
      <name val="Calibri"/>
      <family val="2"/>
      <scheme val="minor"/>
    </font>
    <font>
      <b/>
      <sz val="11"/>
      <color theme="1"/>
      <name val="Calibri"/>
      <family val="2"/>
      <scheme val="minor"/>
    </font>
    <font>
      <b/>
      <sz val="11"/>
      <color rgb="FFFF0000"/>
      <name val="Calibri"/>
      <family val="2"/>
      <scheme val="minor"/>
    </font>
    <font>
      <sz val="10"/>
      <color rgb="FF0033CC"/>
      <name val="Arial"/>
      <family val="2"/>
    </font>
    <font>
      <b/>
      <sz val="16"/>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rgb="FFFF0000"/>
      <name val="Calibri"/>
      <family val="2"/>
      <scheme val="minor"/>
    </font>
    <font>
      <sz val="14"/>
      <color rgb="FF00B050"/>
      <name val="Calibri"/>
      <family val="2"/>
      <scheme val="minor"/>
    </font>
    <font>
      <b/>
      <sz val="12"/>
      <color rgb="FF00B050"/>
      <name val="Calibri"/>
      <family val="2"/>
      <scheme val="minor"/>
    </font>
    <font>
      <b/>
      <sz val="12"/>
      <color rgb="FFFF00FF"/>
      <name val="Calibri"/>
      <family val="2"/>
      <scheme val="minor"/>
    </font>
    <font>
      <sz val="10"/>
      <color theme="1"/>
      <name val="Calibri"/>
      <family val="2"/>
      <scheme val="minor"/>
    </font>
    <font>
      <b/>
      <sz val="10"/>
      <color rgb="FFFF00FF"/>
      <name val="Calibri"/>
      <family val="2"/>
      <scheme val="minor"/>
    </font>
    <font>
      <u/>
      <sz val="11"/>
      <color theme="10"/>
      <name val="Calibri"/>
      <family val="2"/>
      <scheme val="minor"/>
    </font>
    <font>
      <b/>
      <sz val="10"/>
      <color theme="1"/>
      <name val="Calibri"/>
      <family val="2"/>
      <scheme val="minor"/>
    </font>
    <font>
      <b/>
      <sz val="10"/>
      <color rgb="FF0070C0"/>
      <name val="Calibri"/>
      <family val="2"/>
      <scheme val="minor"/>
    </font>
    <font>
      <b/>
      <sz val="10"/>
      <color rgb="FF008000"/>
      <name val="Calibri"/>
      <family val="2"/>
      <scheme val="minor"/>
    </font>
    <font>
      <b/>
      <sz val="18"/>
      <color indexed="12"/>
      <name val="Arial"/>
      <family val="2"/>
    </font>
    <font>
      <sz val="10"/>
      <color rgb="FF0070C0"/>
      <name val="Calibri"/>
      <family val="2"/>
      <scheme val="minor"/>
    </font>
    <font>
      <b/>
      <sz val="12"/>
      <color rgb="FFFF00FF"/>
      <name val="Arial"/>
      <family val="2"/>
    </font>
    <font>
      <b/>
      <sz val="12"/>
      <color rgb="FFFF0000"/>
      <name val="Calibri"/>
      <family val="2"/>
      <scheme val="minor"/>
    </font>
    <font>
      <sz val="10"/>
      <color rgb="FF00B050"/>
      <name val="Calibri"/>
      <family val="2"/>
      <scheme val="minor"/>
    </font>
    <font>
      <b/>
      <sz val="10"/>
      <color rgb="FFFF0000"/>
      <name val="Calibri"/>
      <family val="2"/>
      <scheme val="minor"/>
    </font>
    <font>
      <sz val="10"/>
      <color rgb="FFFF00FF"/>
      <name val="Calibri"/>
      <family val="2"/>
      <scheme val="minor"/>
    </font>
    <font>
      <b/>
      <sz val="10"/>
      <color rgb="FF0033CC"/>
      <name val="Calibri"/>
      <family val="2"/>
      <scheme val="minor"/>
    </font>
    <font>
      <sz val="10"/>
      <color indexed="30"/>
      <name val="Calibri"/>
      <family val="2"/>
    </font>
    <font>
      <b/>
      <sz val="10"/>
      <name val="Calibri"/>
      <family val="2"/>
      <scheme val="minor"/>
    </font>
    <font>
      <sz val="10"/>
      <name val="Calibri"/>
      <family val="2"/>
      <scheme val="minor"/>
    </font>
    <font>
      <sz val="10"/>
      <color theme="6" tint="-0.499984740745262"/>
      <name val="Calibri"/>
      <family val="2"/>
      <scheme val="minor"/>
    </font>
    <font>
      <sz val="10"/>
      <color rgb="FF000099"/>
      <name val="Calibri"/>
      <family val="2"/>
      <scheme val="minor"/>
    </font>
    <font>
      <b/>
      <sz val="10"/>
      <color rgb="FF000099"/>
      <name val="Calibri"/>
      <family val="2"/>
      <scheme val="minor"/>
    </font>
    <font>
      <sz val="10"/>
      <color rgb="FF0033CC"/>
      <name val="Calibri"/>
      <family val="2"/>
      <scheme val="minor"/>
    </font>
    <font>
      <sz val="10"/>
      <color theme="9" tint="-0.249977111117893"/>
      <name val="Calibri"/>
      <family val="2"/>
      <scheme val="minor"/>
    </font>
    <font>
      <u/>
      <sz val="10"/>
      <color theme="9" tint="-0.249977111117893"/>
      <name val="Calibri"/>
      <family val="2"/>
      <scheme val="minor"/>
    </font>
    <font>
      <i/>
      <sz val="10"/>
      <color theme="1"/>
      <name val="Calibri"/>
      <family val="2"/>
      <scheme val="minor"/>
    </font>
    <font>
      <b/>
      <i/>
      <sz val="10"/>
      <color rgb="FF0033CC"/>
      <name val="Calibri"/>
      <family val="2"/>
      <scheme val="minor"/>
    </font>
    <font>
      <b/>
      <i/>
      <sz val="10"/>
      <color theme="1"/>
      <name val="Calibri"/>
      <family val="2"/>
      <scheme val="minor"/>
    </font>
    <font>
      <b/>
      <sz val="11"/>
      <name val="Calibri"/>
      <family val="2"/>
      <scheme val="minor"/>
    </font>
    <font>
      <b/>
      <sz val="11"/>
      <color rgb="FF0033CC"/>
      <name val="Calibri"/>
      <family val="2"/>
      <scheme val="minor"/>
    </font>
    <font>
      <b/>
      <sz val="14"/>
      <color rgb="FF00B050"/>
      <name val="Calibri"/>
      <family val="2"/>
      <scheme val="minor"/>
    </font>
    <font>
      <sz val="10"/>
      <name val="Arial"/>
      <family val="2"/>
    </font>
    <font>
      <sz val="14"/>
      <color rgb="FF0000FF"/>
      <name val="Arial"/>
      <family val="2"/>
    </font>
    <font>
      <sz val="18"/>
      <color theme="1"/>
      <name val="Calibri"/>
      <family val="2"/>
      <scheme val="minor"/>
    </font>
    <font>
      <b/>
      <sz val="10"/>
      <color indexed="10"/>
      <name val="Calibri"/>
      <family val="2"/>
    </font>
    <font>
      <b/>
      <sz val="11"/>
      <color indexed="10"/>
      <name val="Calibri"/>
      <family val="2"/>
    </font>
    <font>
      <sz val="10"/>
      <color rgb="FFFF00FF"/>
      <name val="Arial"/>
      <family val="2"/>
    </font>
    <font>
      <sz val="12"/>
      <color indexed="12"/>
      <name val="Arial"/>
      <family val="2"/>
    </font>
    <font>
      <sz val="12"/>
      <color rgb="FF0033CC"/>
      <name val="Arial"/>
      <family val="2"/>
    </font>
    <font>
      <b/>
      <sz val="14"/>
      <color rgb="FFFF0000"/>
      <name val="Calibri"/>
      <family val="2"/>
      <scheme val="minor"/>
    </font>
    <font>
      <b/>
      <sz val="11"/>
      <color rgb="FF0070C0"/>
      <name val="Calibri"/>
      <family val="2"/>
      <scheme val="minor"/>
    </font>
    <font>
      <b/>
      <sz val="11"/>
      <color rgb="FF00B050"/>
      <name val="Calibri"/>
      <family val="2"/>
      <scheme val="minor"/>
    </font>
    <font>
      <b/>
      <sz val="10"/>
      <color rgb="FF00B050"/>
      <name val="Calibri"/>
      <family val="2"/>
      <scheme val="minor"/>
    </font>
    <font>
      <b/>
      <i/>
      <sz val="11"/>
      <name val="Calibri"/>
      <family val="2"/>
      <scheme val="minor"/>
    </font>
    <font>
      <b/>
      <i/>
      <sz val="10"/>
      <name val="Calibri"/>
      <family val="2"/>
      <scheme val="minor"/>
    </font>
    <font>
      <b/>
      <sz val="12"/>
      <name val="Calibri"/>
      <family val="2"/>
      <scheme val="minor"/>
    </font>
    <font>
      <sz val="11"/>
      <name val="Calibri"/>
      <family val="2"/>
      <scheme val="minor"/>
    </font>
    <font>
      <sz val="10"/>
      <color rgb="FFFF0000"/>
      <name val="Calibri"/>
      <family val="2"/>
      <scheme val="minor"/>
    </font>
    <font>
      <b/>
      <sz val="12"/>
      <color rgb="FF0070C0"/>
      <name val="Calibri"/>
      <family val="2"/>
      <scheme val="minor"/>
    </font>
    <font>
      <b/>
      <sz val="10"/>
      <color rgb="FF0070C0"/>
      <name val="Calibri"/>
      <family val="2"/>
    </font>
    <font>
      <i/>
      <sz val="10"/>
      <color rgb="FF00B050"/>
      <name val="Calibri"/>
      <family val="2"/>
      <scheme val="minor"/>
    </font>
    <font>
      <b/>
      <i/>
      <sz val="10"/>
      <color rgb="FF00B050"/>
      <name val="Calibri"/>
      <family val="2"/>
      <scheme val="minor"/>
    </font>
    <font>
      <b/>
      <sz val="10"/>
      <color theme="9" tint="-0.249977111117893"/>
      <name val="Calibri"/>
      <family val="2"/>
      <scheme val="minor"/>
    </font>
    <font>
      <b/>
      <sz val="16"/>
      <color rgb="FFFF0000"/>
      <name val="Calibri"/>
      <family val="2"/>
      <scheme val="minor"/>
    </font>
    <font>
      <sz val="16"/>
      <color theme="1"/>
      <name val="Calibri"/>
      <family val="2"/>
      <scheme val="minor"/>
    </font>
    <font>
      <b/>
      <sz val="11"/>
      <color rgb="FFFF00FF"/>
      <name val="Arial"/>
      <family val="2"/>
    </font>
    <font>
      <sz val="12"/>
      <color rgb="FF0000FF"/>
      <name val="Arial"/>
      <family val="2"/>
    </font>
    <font>
      <sz val="16"/>
      <color indexed="12"/>
      <name val="Arial"/>
      <family val="2"/>
    </font>
  </fonts>
  <fills count="5">
    <fill>
      <patternFill patternType="none"/>
    </fill>
    <fill>
      <patternFill patternType="gray125"/>
    </fill>
    <fill>
      <patternFill patternType="solid">
        <fgColor rgb="FF99CCFF"/>
        <bgColor indexed="64"/>
      </patternFill>
    </fill>
    <fill>
      <patternFill patternType="solid">
        <fgColor rgb="FFCCFFCC"/>
        <bgColor indexed="64"/>
      </patternFill>
    </fill>
    <fill>
      <patternFill patternType="solid">
        <fgColor rgb="FFF3FAFF"/>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s>
  <cellStyleXfs count="4">
    <xf numFmtId="0" fontId="0" fillId="0" borderId="0"/>
    <xf numFmtId="9" fontId="2" fillId="0" borderId="0" applyFont="0" applyFill="0" applyBorder="0" applyAlignment="0" applyProtection="0"/>
    <xf numFmtId="0" fontId="17" fillId="0" borderId="0" applyNumberFormat="0" applyFill="0" applyBorder="0" applyAlignment="0" applyProtection="0"/>
    <xf numFmtId="44" fontId="2" fillId="0" borderId="0" applyFont="0" applyFill="0" applyBorder="0" applyAlignment="0" applyProtection="0"/>
  </cellStyleXfs>
  <cellXfs count="213">
    <xf numFmtId="0" fontId="0" fillId="0" borderId="0" xfId="0"/>
    <xf numFmtId="0" fontId="4" fillId="0" borderId="0" xfId="0" applyFont="1"/>
    <xf numFmtId="0" fontId="0" fillId="0" borderId="0" xfId="0" applyAlignment="1">
      <alignment horizontal="center"/>
    </xf>
    <xf numFmtId="0" fontId="7"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10" fillId="0" borderId="0" xfId="0" applyFont="1"/>
    <xf numFmtId="0" fontId="7" fillId="0" borderId="0" xfId="0" applyFont="1" applyAlignment="1">
      <alignment horizontal="center" vertical="center"/>
    </xf>
    <xf numFmtId="0" fontId="10" fillId="0" borderId="0" xfId="0" applyFont="1" applyAlignment="1">
      <alignment horizontal="center"/>
    </xf>
    <xf numFmtId="0" fontId="9" fillId="0" borderId="0" xfId="0" applyFont="1"/>
    <xf numFmtId="0" fontId="14" fillId="0" borderId="0" xfId="0" applyFont="1"/>
    <xf numFmtId="0" fontId="15" fillId="0" borderId="0" xfId="0" applyFont="1" applyAlignment="1">
      <alignment horizontal="center"/>
    </xf>
    <xf numFmtId="0" fontId="16" fillId="0" borderId="0" xfId="0" applyFont="1"/>
    <xf numFmtId="0" fontId="1" fillId="0" borderId="0" xfId="0" applyFont="1"/>
    <xf numFmtId="15" fontId="1" fillId="0" borderId="0" xfId="0" applyNumberFormat="1" applyFont="1"/>
    <xf numFmtId="0" fontId="1" fillId="0" borderId="0" xfId="0" applyFont="1" applyAlignment="1">
      <alignment horizontal="center"/>
    </xf>
    <xf numFmtId="15" fontId="5" fillId="0" borderId="0" xfId="0" applyNumberFormat="1" applyFont="1" applyAlignment="1">
      <alignment horizontal="center"/>
    </xf>
    <xf numFmtId="0" fontId="15" fillId="0" borderId="0" xfId="0" applyFont="1"/>
    <xf numFmtId="0" fontId="18" fillId="0" borderId="0" xfId="0" applyFont="1"/>
    <xf numFmtId="0" fontId="19" fillId="0" borderId="0" xfId="0" applyFont="1"/>
    <xf numFmtId="0" fontId="20" fillId="3" borderId="0" xfId="0" applyFont="1" applyFill="1" applyAlignment="1">
      <alignment horizontal="center"/>
    </xf>
    <xf numFmtId="0" fontId="18" fillId="0" borderId="0" xfId="0" applyFont="1" applyAlignment="1">
      <alignment horizontal="center"/>
    </xf>
    <xf numFmtId="0" fontId="18" fillId="0" borderId="1" xfId="0" applyFont="1" applyBorder="1" applyAlignment="1">
      <alignment horizontal="center"/>
    </xf>
    <xf numFmtId="0" fontId="22" fillId="0" borderId="0" xfId="0" applyFont="1"/>
    <xf numFmtId="0" fontId="23" fillId="0" borderId="0" xfId="0" applyFont="1" applyAlignment="1">
      <alignment vertical="center"/>
    </xf>
    <xf numFmtId="0" fontId="9"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26" fillId="0" borderId="0" xfId="0" applyFont="1" applyAlignment="1">
      <alignment vertical="center"/>
    </xf>
    <xf numFmtId="164" fontId="18" fillId="0" borderId="0" xfId="1" applyNumberFormat="1" applyFont="1" applyAlignment="1">
      <alignment horizontal="center"/>
    </xf>
    <xf numFmtId="0" fontId="27" fillId="0" borderId="0" xfId="0" applyFont="1" applyAlignment="1">
      <alignment horizontal="center"/>
    </xf>
    <xf numFmtId="0" fontId="26" fillId="0" borderId="0" xfId="0" applyFont="1"/>
    <xf numFmtId="3" fontId="18" fillId="0" borderId="0" xfId="0" applyNumberFormat="1" applyFont="1" applyAlignment="1">
      <alignment horizontal="center"/>
    </xf>
    <xf numFmtId="3" fontId="15" fillId="0" borderId="0" xfId="0" applyNumberFormat="1" applyFont="1" applyAlignment="1">
      <alignment horizontal="center"/>
    </xf>
    <xf numFmtId="3" fontId="18" fillId="0" borderId="0" xfId="0" applyNumberFormat="1" applyFont="1"/>
    <xf numFmtId="3" fontId="15" fillId="0" borderId="0" xfId="0" applyNumberFormat="1" applyFont="1"/>
    <xf numFmtId="3" fontId="31" fillId="0" borderId="0" xfId="0" applyNumberFormat="1" applyFont="1" applyAlignment="1">
      <alignment horizontal="center"/>
    </xf>
    <xf numFmtId="3" fontId="15" fillId="0" borderId="2" xfId="0" applyNumberFormat="1" applyFont="1" applyBorder="1" applyAlignment="1">
      <alignment horizontal="center"/>
    </xf>
    <xf numFmtId="38" fontId="18" fillId="0" borderId="0" xfId="0" applyNumberFormat="1" applyFont="1"/>
    <xf numFmtId="38" fontId="15" fillId="0" borderId="0" xfId="0" applyNumberFormat="1" applyFont="1"/>
    <xf numFmtId="38" fontId="18" fillId="0" borderId="0" xfId="0" applyNumberFormat="1" applyFont="1" applyAlignment="1">
      <alignment horizontal="center"/>
    </xf>
    <xf numFmtId="3" fontId="15" fillId="0" borderId="0" xfId="0" applyNumberFormat="1" applyFont="1" applyAlignment="1">
      <alignment horizontal="right"/>
    </xf>
    <xf numFmtId="0" fontId="32" fillId="0" borderId="0" xfId="0" applyFont="1"/>
    <xf numFmtId="3" fontId="32" fillId="0" borderId="0" xfId="0" applyNumberFormat="1" applyFont="1" applyAlignment="1">
      <alignment horizontal="right"/>
    </xf>
    <xf numFmtId="0" fontId="32" fillId="0" borderId="0" xfId="0" applyFont="1" applyAlignment="1">
      <alignment horizontal="center"/>
    </xf>
    <xf numFmtId="0" fontId="33" fillId="2" borderId="0" xfId="0" applyFont="1" applyFill="1" applyAlignment="1">
      <alignment horizontal="center"/>
    </xf>
    <xf numFmtId="9" fontId="33" fillId="2" borderId="0" xfId="0" applyNumberFormat="1" applyFont="1" applyFill="1" applyAlignment="1">
      <alignment horizontal="center"/>
    </xf>
    <xf numFmtId="9" fontId="34" fillId="2" borderId="0" xfId="0" applyNumberFormat="1" applyFont="1" applyFill="1" applyAlignment="1">
      <alignment horizontal="center"/>
    </xf>
    <xf numFmtId="38" fontId="31" fillId="0" borderId="0" xfId="0" applyNumberFormat="1" applyFont="1"/>
    <xf numFmtId="38" fontId="31" fillId="0" borderId="0" xfId="0" applyNumberFormat="1" applyFont="1" applyAlignment="1">
      <alignment horizontal="center"/>
    </xf>
    <xf numFmtId="38" fontId="15" fillId="0" borderId="0" xfId="0" applyNumberFormat="1" applyFont="1" applyAlignment="1">
      <alignment horizontal="center"/>
    </xf>
    <xf numFmtId="38" fontId="7" fillId="0" borderId="0" xfId="0" applyNumberFormat="1" applyFont="1" applyAlignment="1">
      <alignment horizontal="center"/>
    </xf>
    <xf numFmtId="38" fontId="7" fillId="0" borderId="0" xfId="0" applyNumberFormat="1" applyFont="1"/>
    <xf numFmtId="38" fontId="15" fillId="0" borderId="1" xfId="0" applyNumberFormat="1" applyFont="1" applyBorder="1" applyAlignment="1">
      <alignment horizontal="center"/>
    </xf>
    <xf numFmtId="2" fontId="15" fillId="0" borderId="1" xfId="0" applyNumberFormat="1" applyFont="1" applyBorder="1" applyAlignment="1">
      <alignment horizontal="center"/>
    </xf>
    <xf numFmtId="2" fontId="15" fillId="0" borderId="0" xfId="0" applyNumberFormat="1" applyFont="1" applyAlignment="1">
      <alignment horizontal="center"/>
    </xf>
    <xf numFmtId="9" fontId="35" fillId="4" borderId="0" xfId="1" applyFont="1" applyFill="1"/>
    <xf numFmtId="9" fontId="35" fillId="4" borderId="0" xfId="1" applyFont="1" applyFill="1" applyAlignment="1">
      <alignment horizontal="center"/>
    </xf>
    <xf numFmtId="0" fontId="36" fillId="0" borderId="0" xfId="0" applyFont="1"/>
    <xf numFmtId="0" fontId="36" fillId="0" borderId="0" xfId="0" applyFont="1" applyAlignment="1">
      <alignment horizontal="center"/>
    </xf>
    <xf numFmtId="0" fontId="15" fillId="0" borderId="0" xfId="0" applyFont="1" applyAlignment="1">
      <alignment horizontal="left"/>
    </xf>
    <xf numFmtId="38" fontId="15" fillId="0" borderId="0" xfId="0" applyNumberFormat="1" applyFont="1" applyAlignment="1">
      <alignment vertical="center"/>
    </xf>
    <xf numFmtId="38" fontId="18" fillId="0" borderId="0" xfId="0" applyNumberFormat="1" applyFont="1" applyAlignment="1">
      <alignment horizontal="center" vertical="center"/>
    </xf>
    <xf numFmtId="38" fontId="9" fillId="0" borderId="0" xfId="0" applyNumberFormat="1" applyFont="1" applyAlignment="1">
      <alignment vertical="center"/>
    </xf>
    <xf numFmtId="38" fontId="7" fillId="0" borderId="0" xfId="0" applyNumberFormat="1" applyFont="1" applyAlignment="1">
      <alignment horizontal="center" vertical="center"/>
    </xf>
    <xf numFmtId="0" fontId="38" fillId="0" borderId="0" xfId="0" applyFont="1"/>
    <xf numFmtId="0" fontId="38" fillId="0" borderId="0" xfId="0" applyFont="1" applyAlignment="1">
      <alignment horizontal="center"/>
    </xf>
    <xf numFmtId="2" fontId="38" fillId="0" borderId="0" xfId="0" applyNumberFormat="1" applyFont="1" applyAlignment="1">
      <alignment horizontal="center"/>
    </xf>
    <xf numFmtId="3" fontId="38" fillId="0" borderId="0" xfId="0" applyNumberFormat="1" applyFont="1" applyAlignment="1">
      <alignment horizontal="center"/>
    </xf>
    <xf numFmtId="2" fontId="38" fillId="0" borderId="1" xfId="0" applyNumberFormat="1" applyFont="1" applyBorder="1" applyAlignment="1">
      <alignment horizontal="center"/>
    </xf>
    <xf numFmtId="3" fontId="40" fillId="0" borderId="0" xfId="0" applyNumberFormat="1" applyFont="1"/>
    <xf numFmtId="3" fontId="40" fillId="0" borderId="0" xfId="0" applyNumberFormat="1" applyFont="1" applyAlignment="1">
      <alignment horizontal="center"/>
    </xf>
    <xf numFmtId="3" fontId="38" fillId="0" borderId="0" xfId="0" applyNumberFormat="1" applyFont="1"/>
    <xf numFmtId="0" fontId="31" fillId="0" borderId="0" xfId="0" applyFont="1" applyAlignment="1">
      <alignment horizontal="left"/>
    </xf>
    <xf numFmtId="38" fontId="41" fillId="0" borderId="0" xfId="0" applyNumberFormat="1" applyFont="1"/>
    <xf numFmtId="0" fontId="41" fillId="0" borderId="0" xfId="0" applyFont="1"/>
    <xf numFmtId="167" fontId="41" fillId="0" borderId="0" xfId="0" applyNumberFormat="1" applyFont="1" applyAlignment="1">
      <alignment horizontal="center" vertical="center"/>
    </xf>
    <xf numFmtId="38" fontId="30" fillId="0" borderId="0" xfId="0" applyNumberFormat="1" applyFont="1"/>
    <xf numFmtId="38" fontId="41" fillId="0" borderId="0" xfId="0" applyNumberFormat="1" applyFont="1" applyAlignment="1">
      <alignment horizontal="center" vertical="center"/>
    </xf>
    <xf numFmtId="3" fontId="18" fillId="0" borderId="2" xfId="0" applyNumberFormat="1" applyFont="1" applyBorder="1" applyAlignment="1">
      <alignment horizontal="center"/>
    </xf>
    <xf numFmtId="0" fontId="11" fillId="0" borderId="0" xfId="0" applyFont="1" applyAlignment="1">
      <alignment vertical="center"/>
    </xf>
    <xf numFmtId="3" fontId="20" fillId="3" borderId="0" xfId="0" applyNumberFormat="1" applyFont="1" applyFill="1" applyAlignment="1">
      <alignment horizontal="left"/>
    </xf>
    <xf numFmtId="3" fontId="20" fillId="3" borderId="0" xfId="0" applyNumberFormat="1" applyFont="1" applyFill="1" applyAlignment="1">
      <alignment horizontal="center"/>
    </xf>
    <xf numFmtId="0" fontId="44" fillId="0" borderId="0" xfId="0" applyFont="1"/>
    <xf numFmtId="15" fontId="44" fillId="0" borderId="0" xfId="0" applyNumberFormat="1" applyFont="1"/>
    <xf numFmtId="0" fontId="21" fillId="0" borderId="0" xfId="0" applyFont="1" applyAlignment="1">
      <alignment vertical="center"/>
    </xf>
    <xf numFmtId="0" fontId="46" fillId="0" borderId="0" xfId="0" applyFont="1" applyAlignment="1">
      <alignment vertical="center"/>
    </xf>
    <xf numFmtId="0" fontId="0" fillId="0" borderId="0" xfId="0" applyAlignment="1">
      <alignment vertical="center"/>
    </xf>
    <xf numFmtId="0" fontId="47" fillId="0" borderId="0" xfId="0" applyFont="1" applyAlignment="1">
      <alignment vertical="center"/>
    </xf>
    <xf numFmtId="0" fontId="31" fillId="0" borderId="0" xfId="2" applyFont="1" applyFill="1"/>
    <xf numFmtId="0" fontId="43" fillId="0" borderId="0" xfId="2" applyFont="1" applyFill="1"/>
    <xf numFmtId="0" fontId="48" fillId="0" borderId="0" xfId="0" applyFont="1" applyAlignment="1">
      <alignment vertical="center"/>
    </xf>
    <xf numFmtId="0" fontId="31" fillId="0" borderId="0" xfId="0" applyFont="1"/>
    <xf numFmtId="0" fontId="44" fillId="0" borderId="0" xfId="0" applyFont="1" applyAlignment="1">
      <alignment horizontal="center"/>
    </xf>
    <xf numFmtId="15" fontId="44" fillId="0" borderId="0" xfId="0" applyNumberFormat="1" applyFont="1" applyAlignment="1">
      <alignment horizontal="center"/>
    </xf>
    <xf numFmtId="0" fontId="49" fillId="0" borderId="0" xfId="0" applyFont="1"/>
    <xf numFmtId="0" fontId="50" fillId="0" borderId="0" xfId="0" applyFont="1" applyAlignment="1">
      <alignment horizontal="center"/>
    </xf>
    <xf numFmtId="15" fontId="51" fillId="0" borderId="0" xfId="0" applyNumberFormat="1" applyFont="1" applyAlignment="1">
      <alignment horizontal="center"/>
    </xf>
    <xf numFmtId="0" fontId="52" fillId="0" borderId="0" xfId="0" applyFont="1" applyAlignment="1">
      <alignment vertical="center"/>
    </xf>
    <xf numFmtId="0" fontId="53" fillId="0" borderId="0" xfId="0" applyFont="1" applyAlignment="1">
      <alignment vertical="center"/>
    </xf>
    <xf numFmtId="0" fontId="19" fillId="0" borderId="0" xfId="0" applyFont="1" applyAlignment="1">
      <alignment horizontal="center"/>
    </xf>
    <xf numFmtId="0" fontId="16" fillId="0" borderId="0" xfId="0" applyFont="1" applyAlignment="1">
      <alignment horizontal="center"/>
    </xf>
    <xf numFmtId="0" fontId="54" fillId="0" borderId="0" xfId="0" applyFont="1"/>
    <xf numFmtId="0" fontId="25" fillId="0" borderId="0" xfId="0" applyFont="1"/>
    <xf numFmtId="3" fontId="55" fillId="0" borderId="0" xfId="0" applyNumberFormat="1" applyFont="1" applyAlignment="1">
      <alignment horizontal="left"/>
    </xf>
    <xf numFmtId="0" fontId="56" fillId="0" borderId="0" xfId="0" applyFont="1"/>
    <xf numFmtId="0" fontId="57" fillId="0" borderId="0" xfId="0" applyFont="1" applyAlignment="1">
      <alignment horizontal="center"/>
    </xf>
    <xf numFmtId="0" fontId="3" fillId="0" borderId="0" xfId="0" applyFont="1"/>
    <xf numFmtId="3" fontId="3" fillId="0" borderId="2" xfId="0" applyNumberFormat="1" applyFont="1" applyBorder="1" applyAlignment="1">
      <alignment horizontal="center"/>
    </xf>
    <xf numFmtId="0" fontId="24" fillId="0" borderId="0" xfId="0" applyFont="1"/>
    <xf numFmtId="0" fontId="43" fillId="0" borderId="0" xfId="0" applyFont="1"/>
    <xf numFmtId="0" fontId="12" fillId="0" borderId="0" xfId="0" applyFont="1"/>
    <xf numFmtId="0" fontId="25" fillId="0" borderId="0" xfId="0" applyFont="1" applyAlignment="1">
      <alignment horizontal="right" vertical="center"/>
    </xf>
    <xf numFmtId="3" fontId="25" fillId="0" borderId="0" xfId="0" applyNumberFormat="1" applyFont="1" applyAlignment="1">
      <alignment horizontal="center"/>
    </xf>
    <xf numFmtId="166" fontId="25" fillId="0" borderId="0" xfId="0" applyNumberFormat="1" applyFont="1" applyAlignment="1">
      <alignment horizontal="right" vertical="center"/>
    </xf>
    <xf numFmtId="3" fontId="25" fillId="0" borderId="0" xfId="0" applyNumberFormat="1" applyFont="1" applyAlignment="1">
      <alignment horizontal="right" vertical="center"/>
    </xf>
    <xf numFmtId="0" fontId="7" fillId="0" borderId="0" xfId="0" applyFont="1" applyAlignment="1">
      <alignment horizontal="right"/>
    </xf>
    <xf numFmtId="38" fontId="7" fillId="0" borderId="0" xfId="1" applyNumberFormat="1" applyFont="1" applyFill="1" applyAlignment="1">
      <alignment horizontal="center"/>
    </xf>
    <xf numFmtId="0" fontId="9" fillId="0" borderId="0" xfId="0" applyFont="1" applyAlignment="1">
      <alignment horizontal="right"/>
    </xf>
    <xf numFmtId="3" fontId="13" fillId="0" borderId="0" xfId="0" applyNumberFormat="1" applyFont="1" applyAlignment="1">
      <alignment horizontal="center"/>
    </xf>
    <xf numFmtId="9" fontId="13" fillId="0" borderId="0" xfId="1" applyFont="1" applyFill="1" applyAlignment="1">
      <alignment horizontal="center"/>
    </xf>
    <xf numFmtId="3" fontId="35" fillId="0" borderId="0" xfId="0" applyNumberFormat="1" applyFont="1"/>
    <xf numFmtId="3" fontId="29" fillId="0" borderId="0" xfId="0" applyNumberFormat="1" applyFont="1"/>
    <xf numFmtId="3" fontId="35" fillId="0" borderId="0" xfId="0" applyNumberFormat="1" applyFont="1" applyAlignment="1">
      <alignment horizontal="center"/>
    </xf>
    <xf numFmtId="0" fontId="35" fillId="0" borderId="0" xfId="0" applyFont="1"/>
    <xf numFmtId="4" fontId="35" fillId="0" borderId="0" xfId="0" applyNumberFormat="1" applyFont="1" applyAlignment="1">
      <alignment horizontal="center"/>
    </xf>
    <xf numFmtId="3" fontId="27" fillId="0" borderId="0" xfId="0" applyNumberFormat="1" applyFont="1"/>
    <xf numFmtId="4" fontId="27" fillId="0" borderId="0" xfId="0" applyNumberFormat="1" applyFont="1" applyAlignment="1">
      <alignment horizontal="center"/>
    </xf>
    <xf numFmtId="2" fontId="27" fillId="0" borderId="0" xfId="0" applyNumberFormat="1" applyFont="1" applyAlignment="1">
      <alignment horizontal="center"/>
    </xf>
    <xf numFmtId="0" fontId="27" fillId="0" borderId="0" xfId="0" applyFont="1"/>
    <xf numFmtId="3" fontId="22" fillId="0" borderId="0" xfId="0" applyNumberFormat="1" applyFont="1"/>
    <xf numFmtId="0" fontId="61" fillId="0" borderId="0" xfId="0" applyFont="1"/>
    <xf numFmtId="0" fontId="61" fillId="0" borderId="0" xfId="0" applyFont="1" applyAlignment="1">
      <alignment horizontal="center"/>
    </xf>
    <xf numFmtId="1" fontId="61" fillId="0" borderId="0" xfId="0" applyNumberFormat="1" applyFont="1" applyAlignment="1">
      <alignment horizontal="center"/>
    </xf>
    <xf numFmtId="9" fontId="22" fillId="0" borderId="0" xfId="1" applyFont="1" applyFill="1"/>
    <xf numFmtId="3" fontId="19" fillId="0" borderId="0" xfId="0" applyNumberFormat="1" applyFont="1"/>
    <xf numFmtId="3" fontId="62" fillId="0" borderId="0" xfId="0" applyNumberFormat="1" applyFont="1"/>
    <xf numFmtId="3" fontId="19" fillId="0" borderId="0" xfId="0" applyNumberFormat="1" applyFont="1" applyAlignment="1">
      <alignment horizontal="center"/>
    </xf>
    <xf numFmtId="9" fontId="39" fillId="0" borderId="0" xfId="1" applyFont="1" applyFill="1"/>
    <xf numFmtId="0" fontId="39" fillId="0" borderId="0" xfId="0" applyFont="1" applyAlignment="1">
      <alignment horizontal="center"/>
    </xf>
    <xf numFmtId="9" fontId="39" fillId="0" borderId="0" xfId="1" applyFont="1" applyFill="1" applyAlignment="1">
      <alignment horizontal="center"/>
    </xf>
    <xf numFmtId="0" fontId="39" fillId="0" borderId="0" xfId="0" applyFont="1"/>
    <xf numFmtId="0" fontId="40" fillId="0" borderId="0" xfId="0" applyFont="1" applyAlignment="1">
      <alignment horizontal="center"/>
    </xf>
    <xf numFmtId="164" fontId="39" fillId="0" borderId="0" xfId="1" applyNumberFormat="1" applyFont="1" applyFill="1" applyAlignment="1">
      <alignment horizontal="center"/>
    </xf>
    <xf numFmtId="0" fontId="40" fillId="0" borderId="0" xfId="0" applyFont="1"/>
    <xf numFmtId="9" fontId="28" fillId="0" borderId="0" xfId="1" applyFont="1" applyFill="1"/>
    <xf numFmtId="164" fontId="28" fillId="0" borderId="0" xfId="1" applyNumberFormat="1" applyFont="1" applyFill="1" applyAlignment="1">
      <alignment horizontal="center"/>
    </xf>
    <xf numFmtId="4" fontId="19" fillId="0" borderId="0" xfId="0" applyNumberFormat="1" applyFont="1" applyAlignment="1">
      <alignment horizontal="center"/>
    </xf>
    <xf numFmtId="165" fontId="19" fillId="0" borderId="0" xfId="0" applyNumberFormat="1" applyFont="1" applyAlignment="1">
      <alignment horizontal="center"/>
    </xf>
    <xf numFmtId="9" fontId="19" fillId="0" borderId="0" xfId="1" applyFont="1" applyFill="1"/>
    <xf numFmtId="9" fontId="19" fillId="0" borderId="0" xfId="1" applyFont="1" applyFill="1" applyAlignment="1">
      <alignment horizontal="center"/>
    </xf>
    <xf numFmtId="3" fontId="25" fillId="0" borderId="0" xfId="0" applyNumberFormat="1" applyFont="1" applyAlignment="1">
      <alignment horizontal="left"/>
    </xf>
    <xf numFmtId="0" fontId="7" fillId="0" borderId="0" xfId="0" applyFont="1" applyAlignment="1">
      <alignment vertical="center"/>
    </xf>
    <xf numFmtId="3" fontId="7" fillId="0" borderId="0" xfId="0" applyNumberFormat="1" applyFont="1" applyAlignment="1">
      <alignment horizontal="center" vertical="center"/>
    </xf>
    <xf numFmtId="164" fontId="7" fillId="0" borderId="0" xfId="1" applyNumberFormat="1" applyFont="1" applyAlignment="1">
      <alignment horizontal="center" vertical="center"/>
    </xf>
    <xf numFmtId="3" fontId="7" fillId="0" borderId="0" xfId="0" applyNumberFormat="1" applyFont="1" applyAlignment="1">
      <alignment horizontal="center"/>
    </xf>
    <xf numFmtId="3" fontId="18" fillId="0" borderId="4" xfId="0" applyNumberFormat="1" applyFont="1" applyBorder="1" applyAlignment="1">
      <alignment horizontal="center"/>
    </xf>
    <xf numFmtId="3" fontId="15" fillId="0" borderId="4" xfId="0" applyNumberFormat="1" applyFont="1" applyBorder="1" applyAlignment="1">
      <alignment horizontal="center"/>
    </xf>
    <xf numFmtId="9" fontId="35" fillId="0" borderId="0" xfId="0" applyNumberFormat="1" applyFont="1" applyAlignment="1">
      <alignment horizontal="center"/>
    </xf>
    <xf numFmtId="3" fontId="63" fillId="0" borderId="0" xfId="0" applyNumberFormat="1" applyFont="1" applyAlignment="1">
      <alignment horizontal="left"/>
    </xf>
    <xf numFmtId="9" fontId="63" fillId="0" borderId="0" xfId="1" applyFont="1" applyFill="1" applyAlignment="1">
      <alignment horizontal="center"/>
    </xf>
    <xf numFmtId="0" fontId="63" fillId="0" borderId="0" xfId="0" applyFont="1"/>
    <xf numFmtId="3" fontId="39" fillId="4" borderId="1" xfId="0" applyNumberFormat="1" applyFont="1" applyFill="1" applyBorder="1" applyAlignment="1">
      <alignment horizontal="center"/>
    </xf>
    <xf numFmtId="4" fontId="16" fillId="0" borderId="0" xfId="0" applyNumberFormat="1" applyFont="1" applyAlignment="1">
      <alignment horizontal="center"/>
    </xf>
    <xf numFmtId="10" fontId="35" fillId="0" borderId="0" xfId="1" applyNumberFormat="1" applyFont="1" applyFill="1" applyAlignment="1">
      <alignment horizontal="center"/>
    </xf>
    <xf numFmtId="4" fontId="28" fillId="0" borderId="0" xfId="0" applyNumberFormat="1" applyFont="1" applyAlignment="1">
      <alignment horizontal="center"/>
    </xf>
    <xf numFmtId="3" fontId="28" fillId="0" borderId="0" xfId="0" applyNumberFormat="1" applyFont="1" applyAlignment="1">
      <alignment horizontal="center"/>
    </xf>
    <xf numFmtId="3" fontId="15" fillId="0" borderId="3" xfId="0" applyNumberFormat="1" applyFont="1" applyBorder="1" applyAlignment="1">
      <alignment horizontal="center"/>
    </xf>
    <xf numFmtId="3" fontId="3" fillId="0" borderId="0" xfId="0" applyNumberFormat="1" applyFont="1" applyAlignment="1">
      <alignment horizontal="center"/>
    </xf>
    <xf numFmtId="0" fontId="60" fillId="0" borderId="0" xfId="0" applyFont="1"/>
    <xf numFmtId="3" fontId="64" fillId="0" borderId="0" xfId="0" applyNumberFormat="1" applyFont="1" applyAlignment="1">
      <alignment horizontal="left"/>
    </xf>
    <xf numFmtId="164" fontId="64" fillId="0" borderId="0" xfId="1" applyNumberFormat="1" applyFont="1" applyFill="1" applyAlignment="1">
      <alignment horizontal="center"/>
    </xf>
    <xf numFmtId="9" fontId="64" fillId="0" borderId="0" xfId="1" applyFont="1" applyFill="1" applyAlignment="1">
      <alignment horizontal="center"/>
    </xf>
    <xf numFmtId="0" fontId="64" fillId="0" borderId="0" xfId="0" applyFont="1"/>
    <xf numFmtId="3" fontId="42" fillId="0" borderId="0" xfId="0" applyNumberFormat="1" applyFont="1" applyAlignment="1">
      <alignment horizontal="center"/>
    </xf>
    <xf numFmtId="0" fontId="66" fillId="0" borderId="0" xfId="0" applyFont="1" applyAlignment="1">
      <alignment vertical="center"/>
    </xf>
    <xf numFmtId="38" fontId="67" fillId="0" borderId="0" xfId="0" applyNumberFormat="1" applyFont="1" applyAlignment="1">
      <alignment vertical="center"/>
    </xf>
    <xf numFmtId="38" fontId="6" fillId="0" borderId="0" xfId="0" applyNumberFormat="1" applyFont="1" applyAlignment="1">
      <alignment horizontal="center" vertical="center"/>
    </xf>
    <xf numFmtId="0" fontId="8" fillId="0" borderId="0" xfId="0" applyFont="1"/>
    <xf numFmtId="164" fontId="8" fillId="0" borderId="0" xfId="1" applyNumberFormat="1" applyFont="1" applyAlignment="1">
      <alignment horizontal="center"/>
    </xf>
    <xf numFmtId="3" fontId="13" fillId="0" borderId="0" xfId="0" applyNumberFormat="1" applyFont="1" applyAlignment="1">
      <alignment horizontal="left" vertical="center"/>
    </xf>
    <xf numFmtId="3"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3" fontId="18" fillId="0" borderId="0" xfId="1" applyNumberFormat="1" applyFont="1" applyAlignment="1">
      <alignment horizontal="center"/>
    </xf>
    <xf numFmtId="5" fontId="15" fillId="0" borderId="0" xfId="0" applyNumberFormat="1" applyFont="1"/>
    <xf numFmtId="5" fontId="18" fillId="0" borderId="0" xfId="1" applyNumberFormat="1" applyFont="1" applyAlignment="1">
      <alignment horizontal="center"/>
    </xf>
    <xf numFmtId="5" fontId="15" fillId="0" borderId="0" xfId="0" applyNumberFormat="1" applyFont="1" applyAlignment="1">
      <alignment horizontal="center"/>
    </xf>
    <xf numFmtId="38" fontId="58" fillId="0" borderId="0" xfId="0" applyNumberFormat="1" applyFont="1"/>
    <xf numFmtId="167" fontId="58" fillId="0" borderId="0" xfId="0" applyNumberFormat="1" applyFont="1" applyAlignment="1">
      <alignment horizontal="center"/>
    </xf>
    <xf numFmtId="5" fontId="31" fillId="0" borderId="0" xfId="0" applyNumberFormat="1" applyFont="1"/>
    <xf numFmtId="0" fontId="15" fillId="0" borderId="0" xfId="0" applyFont="1" applyAlignment="1">
      <alignment horizontal="left" vertical="center"/>
    </xf>
    <xf numFmtId="0" fontId="9" fillId="0" borderId="0" xfId="0" applyFont="1" applyAlignment="1">
      <alignment horizontal="left" vertical="center"/>
    </xf>
    <xf numFmtId="0" fontId="59" fillId="0" borderId="0" xfId="0" applyFont="1" applyAlignment="1">
      <alignment horizontal="left"/>
    </xf>
    <xf numFmtId="38" fontId="31" fillId="0" borderId="0" xfId="0" applyNumberFormat="1" applyFont="1" applyAlignment="1">
      <alignment horizontal="left"/>
    </xf>
    <xf numFmtId="3" fontId="15" fillId="0" borderId="0" xfId="0" applyNumberFormat="1" applyFont="1" applyAlignment="1">
      <alignment horizontal="left"/>
    </xf>
    <xf numFmtId="5" fontId="15" fillId="0" borderId="0" xfId="0" applyNumberFormat="1" applyFont="1" applyAlignment="1">
      <alignment horizontal="left"/>
    </xf>
    <xf numFmtId="5" fontId="31" fillId="0" borderId="0" xfId="0" applyNumberFormat="1" applyFont="1" applyAlignment="1">
      <alignment horizontal="left"/>
    </xf>
    <xf numFmtId="5" fontId="30" fillId="0" borderId="0" xfId="0" applyNumberFormat="1" applyFont="1" applyAlignment="1">
      <alignment horizontal="center" vertical="center"/>
    </xf>
    <xf numFmtId="5" fontId="7" fillId="0" borderId="0" xfId="1" applyNumberFormat="1" applyFont="1" applyAlignment="1">
      <alignment horizontal="center"/>
    </xf>
    <xf numFmtId="5" fontId="3" fillId="0" borderId="0" xfId="0" applyNumberFormat="1" applyFont="1" applyAlignment="1">
      <alignment horizontal="center"/>
    </xf>
    <xf numFmtId="5" fontId="7" fillId="0" borderId="0" xfId="0" applyNumberFormat="1" applyFont="1"/>
    <xf numFmtId="0" fontId="68" fillId="0" borderId="0" xfId="0" applyFont="1" applyAlignment="1">
      <alignment vertical="center"/>
    </xf>
    <xf numFmtId="5" fontId="25" fillId="0" borderId="0" xfId="0" applyNumberFormat="1" applyFont="1" applyAlignment="1">
      <alignment horizontal="right"/>
    </xf>
    <xf numFmtId="5" fontId="25" fillId="0" borderId="0" xfId="0" applyNumberFormat="1" applyFont="1" applyAlignment="1">
      <alignment horizontal="center"/>
    </xf>
    <xf numFmtId="164" fontId="13" fillId="0" borderId="0" xfId="1" applyNumberFormat="1" applyFont="1" applyFill="1" applyAlignment="1">
      <alignment horizontal="center"/>
    </xf>
    <xf numFmtId="168" fontId="55" fillId="0" borderId="0" xfId="3" applyNumberFormat="1" applyFont="1" applyAlignment="1">
      <alignment horizontal="center"/>
    </xf>
    <xf numFmtId="0" fontId="25" fillId="0" borderId="0" xfId="0" applyFont="1" applyAlignment="1">
      <alignment vertical="center"/>
    </xf>
    <xf numFmtId="0" fontId="55" fillId="0" borderId="0" xfId="0" applyFont="1" applyAlignment="1">
      <alignment horizontal="left"/>
    </xf>
    <xf numFmtId="5" fontId="25" fillId="0" borderId="0" xfId="0" applyNumberFormat="1" applyFont="1" applyAlignment="1">
      <alignment horizontal="left"/>
    </xf>
    <xf numFmtId="0" fontId="7" fillId="0" borderId="0" xfId="0" applyFont="1" applyAlignment="1">
      <alignment horizontal="left"/>
    </xf>
    <xf numFmtId="0" fontId="43" fillId="0" borderId="0" xfId="0" applyFont="1" applyAlignment="1">
      <alignment horizontal="left"/>
    </xf>
    <xf numFmtId="0" fontId="70" fillId="0" borderId="0" xfId="0" applyFont="1" applyAlignment="1">
      <alignment vertical="center"/>
    </xf>
  </cellXfs>
  <cellStyles count="4">
    <cellStyle name="Currency" xfId="3" builtinId="4"/>
    <cellStyle name="Hyperlink" xfId="2" builtinId="8"/>
    <cellStyle name="Normal" xfId="0" builtinId="0"/>
    <cellStyle name="Percent" xfId="1" builtinId="5"/>
  </cellStyles>
  <dxfs count="0"/>
  <tableStyles count="0" defaultTableStyle="TableStyleMedium9" defaultPivotStyle="PivotStyleLight16"/>
  <colors>
    <mruColors>
      <color rgb="FF269A26"/>
      <color rgb="FFFF66FF"/>
      <color rgb="FF00B050"/>
      <color rgb="FF0033CC"/>
      <color rgb="FF33CC33"/>
      <color rgb="FF000000"/>
      <color rgb="FFF6BB00"/>
      <color rgb="FFEABD00"/>
      <color rgb="FFFFCC00"/>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Anatomy - </a:t>
            </a:r>
            <a:r>
              <a:rPr lang="en-US" sz="1400"/>
              <a:t>Four Cash Streams</a:t>
            </a:r>
          </a:p>
        </c:rich>
      </c:tx>
      <c:overlay val="1"/>
    </c:title>
    <c:autoTitleDeleted val="0"/>
    <c:plotArea>
      <c:layout>
        <c:manualLayout>
          <c:layoutTarget val="inner"/>
          <c:xMode val="edge"/>
          <c:yMode val="edge"/>
          <c:x val="0.12511187965523352"/>
          <c:y val="0.141273935585638"/>
          <c:w val="0.83455059425235123"/>
          <c:h val="0.58576406397476166"/>
        </c:manualLayout>
      </c:layout>
      <c:barChart>
        <c:barDir val="col"/>
        <c:grouping val="stacked"/>
        <c:varyColors val="0"/>
        <c:ser>
          <c:idx val="0"/>
          <c:order val="0"/>
          <c:tx>
            <c:strRef>
              <c:f>'Base Case'!$A$278</c:f>
              <c:strCache>
                <c:ptCount val="1"/>
                <c:pt idx="0">
                  <c:v>Cashstream 2: Capital Costs - Base Case</c:v>
                </c:pt>
              </c:strCache>
            </c:strRef>
          </c:tx>
          <c:spPr>
            <a:solidFill>
              <a:srgbClr val="00B0F0"/>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Case'!$D$278:$M$278</c:f>
              <c:numCache>
                <c:formatCode>#,##0</c:formatCode>
                <c:ptCount val="10"/>
                <c:pt idx="0">
                  <c:v>-4500</c:v>
                </c:pt>
                <c:pt idx="1">
                  <c:v>-31000</c:v>
                </c:pt>
                <c:pt idx="2">
                  <c:v>-26500</c:v>
                </c:pt>
                <c:pt idx="3">
                  <c:v>-6200</c:v>
                </c:pt>
                <c:pt idx="4">
                  <c:v>-6200</c:v>
                </c:pt>
                <c:pt idx="5">
                  <c:v>-7700</c:v>
                </c:pt>
                <c:pt idx="6">
                  <c:v>-6200</c:v>
                </c:pt>
                <c:pt idx="7">
                  <c:v>-6200</c:v>
                </c:pt>
                <c:pt idx="8">
                  <c:v>-6200</c:v>
                </c:pt>
                <c:pt idx="9">
                  <c:v>0</c:v>
                </c:pt>
              </c:numCache>
            </c:numRef>
          </c:val>
          <c:extLst>
            <c:ext xmlns:c16="http://schemas.microsoft.com/office/drawing/2014/chart" uri="{C3380CC4-5D6E-409C-BE32-E72D297353CC}">
              <c16:uniqueId val="{00000000-A9C5-4D57-AA36-C3B04679A45F}"/>
            </c:ext>
          </c:extLst>
        </c:ser>
        <c:ser>
          <c:idx val="4"/>
          <c:order val="1"/>
          <c:tx>
            <c:strRef>
              <c:f>'Base Case'!$A$282</c:f>
              <c:strCache>
                <c:ptCount val="1"/>
                <c:pt idx="0">
                  <c:v>Cashflow Deficit</c:v>
                </c:pt>
              </c:strCache>
            </c:strRef>
          </c:tx>
          <c:spPr>
            <a:noFill/>
            <a:ln w="34925">
              <a:solidFill>
                <a:srgbClr val="00B050"/>
              </a:solidFill>
              <a:prstDash val="dash"/>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Case'!$D$282:$M$282</c:f>
              <c:numCache>
                <c:formatCode>#,##0</c:formatCode>
                <c:ptCount val="10"/>
                <c:pt idx="0">
                  <c:v>4500</c:v>
                </c:pt>
                <c:pt idx="1">
                  <c:v>31000</c:v>
                </c:pt>
                <c:pt idx="2">
                  <c:v>0</c:v>
                </c:pt>
                <c:pt idx="3">
                  <c:v>0</c:v>
                </c:pt>
                <c:pt idx="4">
                  <c:v>0</c:v>
                </c:pt>
                <c:pt idx="5">
                  <c:v>0</c:v>
                </c:pt>
                <c:pt idx="6">
                  <c:v>0</c:v>
                </c:pt>
                <c:pt idx="7">
                  <c:v>0</c:v>
                </c:pt>
                <c:pt idx="8">
                  <c:v>0</c:v>
                </c:pt>
                <c:pt idx="9">
                  <c:v>40000</c:v>
                </c:pt>
              </c:numCache>
            </c:numRef>
          </c:val>
          <c:extLst>
            <c:ext xmlns:c16="http://schemas.microsoft.com/office/drawing/2014/chart" uri="{C3380CC4-5D6E-409C-BE32-E72D297353CC}">
              <c16:uniqueId val="{00000001-A9C5-4D57-AA36-C3B04679A45F}"/>
            </c:ext>
          </c:extLst>
        </c:ser>
        <c:ser>
          <c:idx val="1"/>
          <c:order val="2"/>
          <c:tx>
            <c:strRef>
              <c:f>'Base Case'!$A$279</c:f>
              <c:strCache>
                <c:ptCount val="1"/>
                <c:pt idx="0">
                  <c:v>Cashstream 3: Operating Costs - Base Case</c:v>
                </c:pt>
              </c:strCache>
            </c:strRef>
          </c:tx>
          <c:spPr>
            <a:solidFill>
              <a:srgbClr val="FFFF00"/>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Case'!$D$279:$M$279</c:f>
              <c:numCache>
                <c:formatCode>#,##0</c:formatCode>
                <c:ptCount val="10"/>
                <c:pt idx="0">
                  <c:v>0</c:v>
                </c:pt>
                <c:pt idx="1">
                  <c:v>0</c:v>
                </c:pt>
                <c:pt idx="2">
                  <c:v>0</c:v>
                </c:pt>
                <c:pt idx="3">
                  <c:v>-36388.578263123476</c:v>
                </c:pt>
                <c:pt idx="4">
                  <c:v>-46176.652289260317</c:v>
                </c:pt>
                <c:pt idx="5">
                  <c:v>-46722.856721748059</c:v>
                </c:pt>
                <c:pt idx="6">
                  <c:v>-44924.910804739462</c:v>
                </c:pt>
                <c:pt idx="7">
                  <c:v>-44909.62439392964</c:v>
                </c:pt>
                <c:pt idx="8">
                  <c:v>-30199.872704047921</c:v>
                </c:pt>
                <c:pt idx="9">
                  <c:v>-40000</c:v>
                </c:pt>
              </c:numCache>
            </c:numRef>
          </c:val>
          <c:extLst>
            <c:ext xmlns:c16="http://schemas.microsoft.com/office/drawing/2014/chart" uri="{C3380CC4-5D6E-409C-BE32-E72D297353CC}">
              <c16:uniqueId val="{00000002-A9C5-4D57-AA36-C3B04679A45F}"/>
            </c:ext>
          </c:extLst>
        </c:ser>
        <c:ser>
          <c:idx val="3"/>
          <c:order val="3"/>
          <c:tx>
            <c:strRef>
              <c:f>'Base Case'!$A$281</c:f>
              <c:strCache>
                <c:ptCount val="1"/>
                <c:pt idx="0">
                  <c:v>Cashflow if positive</c:v>
                </c:pt>
              </c:strCache>
            </c:strRef>
          </c:tx>
          <c:spPr>
            <a:solidFill>
              <a:srgbClr val="33CC33"/>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Case'!$D$281:$M$281</c:f>
              <c:numCache>
                <c:formatCode>#,##0</c:formatCode>
                <c:ptCount val="10"/>
                <c:pt idx="0">
                  <c:v>0</c:v>
                </c:pt>
                <c:pt idx="1">
                  <c:v>0</c:v>
                </c:pt>
                <c:pt idx="2">
                  <c:v>0</c:v>
                </c:pt>
                <c:pt idx="3">
                  <c:v>0</c:v>
                </c:pt>
                <c:pt idx="4">
                  <c:v>31946.302246458981</c:v>
                </c:pt>
                <c:pt idx="5">
                  <c:v>32429.577568401299</c:v>
                </c:pt>
                <c:pt idx="6">
                  <c:v>29350.527370255015</c:v>
                </c:pt>
                <c:pt idx="7">
                  <c:v>27845.21167892799</c:v>
                </c:pt>
                <c:pt idx="8">
                  <c:v>15721.979033607897</c:v>
                </c:pt>
                <c:pt idx="9">
                  <c:v>0</c:v>
                </c:pt>
              </c:numCache>
            </c:numRef>
          </c:val>
          <c:extLst>
            <c:ext xmlns:c16="http://schemas.microsoft.com/office/drawing/2014/chart" uri="{C3380CC4-5D6E-409C-BE32-E72D297353CC}">
              <c16:uniqueId val="{00000003-A9C5-4D57-AA36-C3B04679A45F}"/>
            </c:ext>
          </c:extLst>
        </c:ser>
        <c:ser>
          <c:idx val="2"/>
          <c:order val="4"/>
          <c:tx>
            <c:strRef>
              <c:f>'Base Case'!$A$280</c:f>
              <c:strCache>
                <c:ptCount val="1"/>
                <c:pt idx="0">
                  <c:v>Cashstream 4: Taxes - Base Case</c:v>
                </c:pt>
              </c:strCache>
            </c:strRef>
          </c:tx>
          <c:spPr>
            <a:solidFill>
              <a:srgbClr val="FF0000"/>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Case'!$D$280:$M$280</c:f>
              <c:numCache>
                <c:formatCode>#,##0</c:formatCode>
                <c:ptCount val="10"/>
                <c:pt idx="0">
                  <c:v>0</c:v>
                </c:pt>
                <c:pt idx="1">
                  <c:v>0</c:v>
                </c:pt>
                <c:pt idx="2">
                  <c:v>0</c:v>
                </c:pt>
                <c:pt idx="3">
                  <c:v>0</c:v>
                </c:pt>
                <c:pt idx="4">
                  <c:v>-6460.032463626776</c:v>
                </c:pt>
                <c:pt idx="5">
                  <c:v>-15107.29316030621</c:v>
                </c:pt>
                <c:pt idx="6">
                  <c:v>-13607.458358503292</c:v>
                </c:pt>
                <c:pt idx="7">
                  <c:v>-13425.147595854394</c:v>
                </c:pt>
                <c:pt idx="8">
                  <c:v>-1612.0160331233758</c:v>
                </c:pt>
                <c:pt idx="9">
                  <c:v>0</c:v>
                </c:pt>
              </c:numCache>
            </c:numRef>
          </c:val>
          <c:extLst>
            <c:ext xmlns:c16="http://schemas.microsoft.com/office/drawing/2014/chart" uri="{C3380CC4-5D6E-409C-BE32-E72D297353CC}">
              <c16:uniqueId val="{00000004-A9C5-4D57-AA36-C3B04679A45F}"/>
            </c:ext>
          </c:extLst>
        </c:ser>
        <c:dLbls>
          <c:showLegendKey val="0"/>
          <c:showVal val="0"/>
          <c:showCatName val="0"/>
          <c:showSerName val="0"/>
          <c:showPercent val="0"/>
          <c:showBubbleSize val="0"/>
        </c:dLbls>
        <c:gapWidth val="0"/>
        <c:overlap val="100"/>
        <c:axId val="323267880"/>
        <c:axId val="323263568"/>
      </c:barChart>
      <c:catAx>
        <c:axId val="323267880"/>
        <c:scaling>
          <c:orientation val="minMax"/>
        </c:scaling>
        <c:delete val="0"/>
        <c:axPos val="b"/>
        <c:numFmt formatCode="General" sourceLinked="1"/>
        <c:majorTickMark val="out"/>
        <c:minorTickMark val="none"/>
        <c:tickLblPos val="nextTo"/>
        <c:txPr>
          <a:bodyPr/>
          <a:lstStyle/>
          <a:p>
            <a:pPr>
              <a:defRPr sz="1000"/>
            </a:pPr>
            <a:endParaRPr lang="en-US"/>
          </a:p>
        </c:txPr>
        <c:crossAx val="323263568"/>
        <c:crosses val="autoZero"/>
        <c:auto val="1"/>
        <c:lblAlgn val="ctr"/>
        <c:lblOffset val="100"/>
        <c:noMultiLvlLbl val="0"/>
      </c:catAx>
      <c:valAx>
        <c:axId val="323263568"/>
        <c:scaling>
          <c:orientation val="minMax"/>
        </c:scaling>
        <c:delete val="0"/>
        <c:axPos val="l"/>
        <c:majorGridlines/>
        <c:title>
          <c:tx>
            <c:rich>
              <a:bodyPr rot="-5400000" vert="horz"/>
              <a:lstStyle/>
              <a:p>
                <a:pPr>
                  <a:defRPr sz="1200" b="1"/>
                </a:pPr>
                <a:r>
                  <a:rPr lang="en-US" sz="1200" b="1"/>
                  <a:t>US$M</a:t>
                </a:r>
              </a:p>
            </c:rich>
          </c:tx>
          <c:layout>
            <c:manualLayout>
              <c:xMode val="edge"/>
              <c:yMode val="edge"/>
              <c:x val="9.5604029652637396E-3"/>
              <c:y val="0.26838821871404006"/>
            </c:manualLayout>
          </c:layout>
          <c:overlay val="0"/>
        </c:title>
        <c:numFmt formatCode="#,##0" sourceLinked="0"/>
        <c:majorTickMark val="out"/>
        <c:minorTickMark val="none"/>
        <c:tickLblPos val="nextTo"/>
        <c:txPr>
          <a:bodyPr/>
          <a:lstStyle/>
          <a:p>
            <a:pPr>
              <a:defRPr sz="1100" b="0" baseline="0"/>
            </a:pPr>
            <a:endParaRPr lang="en-US"/>
          </a:p>
        </c:txPr>
        <c:crossAx val="323267880"/>
        <c:crosses val="autoZero"/>
        <c:crossBetween val="between"/>
        <c:dispUnits>
          <c:builtInUnit val="thousands"/>
        </c:dispUnits>
      </c:valAx>
    </c:plotArea>
    <c:legend>
      <c:legendPos val="b"/>
      <c:layout>
        <c:manualLayout>
          <c:xMode val="edge"/>
          <c:yMode val="edge"/>
          <c:x val="2.510927933445995E-3"/>
          <c:y val="0.72972641131722937"/>
          <c:w val="0.99042838483052786"/>
          <c:h val="0.25238963773596101"/>
        </c:manualLayout>
      </c:layout>
      <c:overlay val="0"/>
      <c:spPr>
        <a:solidFill>
          <a:schemeClr val="bg1"/>
        </a:solidFill>
      </c:spPr>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 </a:t>
            </a:r>
            <a:r>
              <a:rPr lang="en-US" sz="1400"/>
              <a:t>Mining</a:t>
            </a:r>
          </a:p>
        </c:rich>
      </c:tx>
      <c:overlay val="1"/>
    </c:title>
    <c:autoTitleDeleted val="0"/>
    <c:plotArea>
      <c:layout>
        <c:manualLayout>
          <c:layoutTarget val="inner"/>
          <c:xMode val="edge"/>
          <c:yMode val="edge"/>
          <c:x val="0.13267534698797254"/>
          <c:y val="0.16988953377835198"/>
          <c:w val="0.74363454286841046"/>
          <c:h val="0.49998766720425009"/>
        </c:manualLayout>
      </c:layout>
      <c:barChart>
        <c:barDir val="col"/>
        <c:grouping val="stacked"/>
        <c:varyColors val="0"/>
        <c:ser>
          <c:idx val="0"/>
          <c:order val="0"/>
          <c:tx>
            <c:strRef>
              <c:f>'Low Capex Case'!$A$68</c:f>
              <c:strCache>
                <c:ptCount val="1"/>
                <c:pt idx="0">
                  <c:v>Ore production</c:v>
                </c:pt>
              </c:strCache>
            </c:strRef>
          </c:tx>
          <c:spPr>
            <a:solidFill>
              <a:schemeClr val="bg1">
                <a:lumMod val="50000"/>
              </a:schemeClr>
            </a:solidFill>
            <a:ln>
              <a:noFill/>
            </a:ln>
          </c:spPr>
          <c:invertIfNegative val="0"/>
          <c:cat>
            <c:numRef>
              <c:f>'Low Capex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Case'!$D$68:$M$68</c:f>
              <c:numCache>
                <c:formatCode>#,##0</c:formatCode>
                <c:ptCount val="10"/>
                <c:pt idx="3">
                  <c:v>400</c:v>
                </c:pt>
                <c:pt idx="4">
                  <c:v>600</c:v>
                </c:pt>
                <c:pt idx="5">
                  <c:v>600</c:v>
                </c:pt>
                <c:pt idx="6">
                  <c:v>600</c:v>
                </c:pt>
                <c:pt idx="7">
                  <c:v>600</c:v>
                </c:pt>
                <c:pt idx="8">
                  <c:v>300</c:v>
                </c:pt>
              </c:numCache>
            </c:numRef>
          </c:val>
          <c:extLst>
            <c:ext xmlns:c16="http://schemas.microsoft.com/office/drawing/2014/chart" uri="{C3380CC4-5D6E-409C-BE32-E72D297353CC}">
              <c16:uniqueId val="{00000000-1F10-43DB-AD5A-1DD43614860C}"/>
            </c:ext>
          </c:extLst>
        </c:ser>
        <c:ser>
          <c:idx val="2"/>
          <c:order val="1"/>
          <c:tx>
            <c:strRef>
              <c:f>'Low Capex Case'!$A$67</c:f>
              <c:strCache>
                <c:ptCount val="1"/>
                <c:pt idx="0">
                  <c:v>Waste removed</c:v>
                </c:pt>
              </c:strCache>
            </c:strRef>
          </c:tx>
          <c:spPr>
            <a:solidFill>
              <a:schemeClr val="bg1">
                <a:lumMod val="85000"/>
              </a:schemeClr>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Case'!$D$67:$M$67</c:f>
              <c:numCache>
                <c:formatCode>#,##0</c:formatCode>
                <c:ptCount val="10"/>
                <c:pt idx="2">
                  <c:v>950</c:v>
                </c:pt>
                <c:pt idx="3">
                  <c:v>700</c:v>
                </c:pt>
                <c:pt idx="4">
                  <c:v>700</c:v>
                </c:pt>
                <c:pt idx="5">
                  <c:v>700</c:v>
                </c:pt>
                <c:pt idx="6">
                  <c:v>300</c:v>
                </c:pt>
                <c:pt idx="7">
                  <c:v>230</c:v>
                </c:pt>
              </c:numCache>
            </c:numRef>
          </c:val>
          <c:extLst>
            <c:ext xmlns:c16="http://schemas.microsoft.com/office/drawing/2014/chart" uri="{C3380CC4-5D6E-409C-BE32-E72D297353CC}">
              <c16:uniqueId val="{00000001-1F10-43DB-AD5A-1DD43614860C}"/>
            </c:ext>
          </c:extLst>
        </c:ser>
        <c:dLbls>
          <c:showLegendKey val="0"/>
          <c:showVal val="0"/>
          <c:showCatName val="0"/>
          <c:showSerName val="0"/>
          <c:showPercent val="0"/>
          <c:showBubbleSize val="0"/>
        </c:dLbls>
        <c:gapWidth val="0"/>
        <c:overlap val="100"/>
        <c:axId val="323262784"/>
        <c:axId val="323267488"/>
      </c:barChart>
      <c:lineChart>
        <c:grouping val="standard"/>
        <c:varyColors val="0"/>
        <c:ser>
          <c:idx val="1"/>
          <c:order val="2"/>
          <c:tx>
            <c:strRef>
              <c:f>'Low Capex Case'!$A$69</c:f>
              <c:strCache>
                <c:ptCount val="1"/>
                <c:pt idx="0">
                  <c:v>Head grade - gold</c:v>
                </c:pt>
              </c:strCache>
            </c:strRef>
          </c:tx>
          <c:spPr>
            <a:ln w="41275">
              <a:solidFill>
                <a:srgbClr val="FFC000"/>
              </a:solidFill>
            </a:ln>
          </c:spPr>
          <c:marker>
            <c:symbol val="none"/>
          </c:marker>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Case'!$D$69:$M$69</c:f>
              <c:numCache>
                <c:formatCode>0.0</c:formatCode>
                <c:ptCount val="10"/>
                <c:pt idx="3">
                  <c:v>2.4</c:v>
                </c:pt>
                <c:pt idx="4">
                  <c:v>2.8</c:v>
                </c:pt>
                <c:pt idx="5">
                  <c:v>2.9</c:v>
                </c:pt>
                <c:pt idx="6">
                  <c:v>2.6</c:v>
                </c:pt>
                <c:pt idx="7">
                  <c:v>2.6</c:v>
                </c:pt>
                <c:pt idx="8">
                  <c:v>2.1</c:v>
                </c:pt>
              </c:numCache>
            </c:numRef>
          </c:val>
          <c:smooth val="0"/>
          <c:extLst>
            <c:ext xmlns:c16="http://schemas.microsoft.com/office/drawing/2014/chart" uri="{C3380CC4-5D6E-409C-BE32-E72D297353CC}">
              <c16:uniqueId val="{00000002-1F10-43DB-AD5A-1DD43614860C}"/>
            </c:ext>
          </c:extLst>
        </c:ser>
        <c:dLbls>
          <c:showLegendKey val="0"/>
          <c:showVal val="0"/>
          <c:showCatName val="0"/>
          <c:showSerName val="0"/>
          <c:showPercent val="0"/>
          <c:showBubbleSize val="0"/>
        </c:dLbls>
        <c:marker val="1"/>
        <c:smooth val="0"/>
        <c:axId val="323270232"/>
        <c:axId val="323267096"/>
      </c:lineChart>
      <c:catAx>
        <c:axId val="323262784"/>
        <c:scaling>
          <c:orientation val="minMax"/>
        </c:scaling>
        <c:delete val="0"/>
        <c:axPos val="b"/>
        <c:numFmt formatCode="General" sourceLinked="1"/>
        <c:majorTickMark val="out"/>
        <c:minorTickMark val="none"/>
        <c:tickLblPos val="nextTo"/>
        <c:txPr>
          <a:bodyPr/>
          <a:lstStyle/>
          <a:p>
            <a:pPr>
              <a:defRPr sz="1000" b="0"/>
            </a:pPr>
            <a:endParaRPr lang="en-US"/>
          </a:p>
        </c:txPr>
        <c:crossAx val="323267488"/>
        <c:crosses val="autoZero"/>
        <c:auto val="1"/>
        <c:lblAlgn val="ctr"/>
        <c:lblOffset val="100"/>
        <c:noMultiLvlLbl val="0"/>
      </c:catAx>
      <c:valAx>
        <c:axId val="323267488"/>
        <c:scaling>
          <c:orientation val="minMax"/>
        </c:scaling>
        <c:delete val="0"/>
        <c:axPos val="l"/>
        <c:majorGridlines/>
        <c:title>
          <c:tx>
            <c:rich>
              <a:bodyPr rot="-5400000" vert="horz"/>
              <a:lstStyle/>
              <a:p>
                <a:pPr>
                  <a:defRPr sz="1200" b="1"/>
                </a:pPr>
                <a:r>
                  <a:rPr lang="en-US" sz="1200" b="1"/>
                  <a:t>000 tonnes</a:t>
                </a:r>
              </a:p>
            </c:rich>
          </c:tx>
          <c:layout>
            <c:manualLayout>
              <c:xMode val="edge"/>
              <c:yMode val="edge"/>
              <c:x val="8.5298213462962104E-3"/>
              <c:y val="0.20977184327862633"/>
            </c:manualLayout>
          </c:layout>
          <c:overlay val="0"/>
        </c:title>
        <c:numFmt formatCode="#,##0" sourceLinked="1"/>
        <c:majorTickMark val="out"/>
        <c:minorTickMark val="none"/>
        <c:tickLblPos val="nextTo"/>
        <c:txPr>
          <a:bodyPr/>
          <a:lstStyle/>
          <a:p>
            <a:pPr>
              <a:defRPr sz="1100" b="0"/>
            </a:pPr>
            <a:endParaRPr lang="en-US"/>
          </a:p>
        </c:txPr>
        <c:crossAx val="323262784"/>
        <c:crosses val="autoZero"/>
        <c:crossBetween val="between"/>
      </c:valAx>
      <c:catAx>
        <c:axId val="323270232"/>
        <c:scaling>
          <c:orientation val="minMax"/>
        </c:scaling>
        <c:delete val="1"/>
        <c:axPos val="b"/>
        <c:numFmt formatCode="General" sourceLinked="1"/>
        <c:majorTickMark val="out"/>
        <c:minorTickMark val="none"/>
        <c:tickLblPos val="nextTo"/>
        <c:crossAx val="323267096"/>
        <c:crosses val="autoZero"/>
        <c:auto val="1"/>
        <c:lblAlgn val="ctr"/>
        <c:lblOffset val="100"/>
        <c:noMultiLvlLbl val="0"/>
      </c:catAx>
      <c:valAx>
        <c:axId val="323267096"/>
        <c:scaling>
          <c:orientation val="minMax"/>
        </c:scaling>
        <c:delete val="0"/>
        <c:axPos val="r"/>
        <c:title>
          <c:tx>
            <c:rich>
              <a:bodyPr rot="-5400000" vert="horz"/>
              <a:lstStyle/>
              <a:p>
                <a:pPr>
                  <a:defRPr sz="1200">
                    <a:solidFill>
                      <a:srgbClr val="F6BB00"/>
                    </a:solidFill>
                  </a:defRPr>
                </a:pPr>
                <a:r>
                  <a:rPr lang="en-US" sz="1200">
                    <a:solidFill>
                      <a:srgbClr val="F6BB00"/>
                    </a:solidFill>
                  </a:rPr>
                  <a:t>Au Grams/Tonne</a:t>
                </a:r>
              </a:p>
            </c:rich>
          </c:tx>
          <c:layout>
            <c:manualLayout>
              <c:xMode val="edge"/>
              <c:yMode val="edge"/>
              <c:x val="0.94002598787577585"/>
              <c:y val="0.12796603737785789"/>
            </c:manualLayout>
          </c:layout>
          <c:overlay val="0"/>
        </c:title>
        <c:numFmt formatCode="#,##0.0" sourceLinked="0"/>
        <c:majorTickMark val="out"/>
        <c:minorTickMark val="none"/>
        <c:tickLblPos val="nextTo"/>
        <c:txPr>
          <a:bodyPr/>
          <a:lstStyle/>
          <a:p>
            <a:pPr>
              <a:defRPr sz="1100" baseline="0">
                <a:solidFill>
                  <a:schemeClr val="accent6"/>
                </a:solidFill>
              </a:defRPr>
            </a:pPr>
            <a:endParaRPr lang="en-US"/>
          </a:p>
        </c:txPr>
        <c:crossAx val="323270232"/>
        <c:crosses val="max"/>
        <c:crossBetween val="between"/>
      </c:valAx>
    </c:plotArea>
    <c:legend>
      <c:legendPos val="b"/>
      <c:layout>
        <c:manualLayout>
          <c:xMode val="edge"/>
          <c:yMode val="edge"/>
          <c:x val="0.11905408341697103"/>
          <c:y val="0.77889221523062846"/>
          <c:w val="0.63174583569210707"/>
          <c:h val="0.2118900762404699"/>
        </c:manualLayout>
      </c:layout>
      <c:overlay val="0"/>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 </a:t>
            </a:r>
            <a:r>
              <a:rPr lang="en-US" sz="1400"/>
              <a:t>Sales, Price, Opex per ounce </a:t>
            </a:r>
          </a:p>
        </c:rich>
      </c:tx>
      <c:layout>
        <c:manualLayout>
          <c:xMode val="edge"/>
          <c:yMode val="edge"/>
          <c:x val="0.12242117971345851"/>
          <c:y val="3.9517064778851474E-2"/>
        </c:manualLayout>
      </c:layout>
      <c:overlay val="0"/>
    </c:title>
    <c:autoTitleDeleted val="0"/>
    <c:plotArea>
      <c:layout>
        <c:manualLayout>
          <c:layoutTarget val="inner"/>
          <c:xMode val="edge"/>
          <c:yMode val="edge"/>
          <c:x val="0.14649422854401264"/>
          <c:y val="0.16050388340795591"/>
          <c:w val="0.66308613696015284"/>
          <c:h val="0.52756666119259787"/>
        </c:manualLayout>
      </c:layout>
      <c:barChart>
        <c:barDir val="col"/>
        <c:grouping val="stacked"/>
        <c:varyColors val="0"/>
        <c:ser>
          <c:idx val="0"/>
          <c:order val="0"/>
          <c:tx>
            <c:strRef>
              <c:f>'Low Capex Case'!$A$77</c:f>
              <c:strCache>
                <c:ptCount val="1"/>
                <c:pt idx="0">
                  <c:v>Gold sold</c:v>
                </c:pt>
              </c:strCache>
            </c:strRef>
          </c:tx>
          <c:spPr>
            <a:solidFill>
              <a:srgbClr val="FFF2BD"/>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Case'!$D$77:$M$77</c:f>
              <c:numCache>
                <c:formatCode>#,##0</c:formatCode>
                <c:ptCount val="10"/>
                <c:pt idx="0" formatCode="General">
                  <c:v>0</c:v>
                </c:pt>
                <c:pt idx="1">
                  <c:v>0</c:v>
                </c:pt>
                <c:pt idx="2">
                  <c:v>0</c:v>
                </c:pt>
                <c:pt idx="3">
                  <c:v>23.157061587929753</c:v>
                </c:pt>
                <c:pt idx="4">
                  <c:v>47.382636655948552</c:v>
                </c:pt>
                <c:pt idx="5">
                  <c:v>51.302003462775176</c:v>
                </c:pt>
                <c:pt idx="6">
                  <c:v>46.659906010388326</c:v>
                </c:pt>
                <c:pt idx="7">
                  <c:v>46.147909967845656</c:v>
                </c:pt>
                <c:pt idx="8">
                  <c:v>23.073954983922832</c:v>
                </c:pt>
                <c:pt idx="9">
                  <c:v>0</c:v>
                </c:pt>
              </c:numCache>
            </c:numRef>
          </c:val>
          <c:extLst>
            <c:ext xmlns:c16="http://schemas.microsoft.com/office/drawing/2014/chart" uri="{C3380CC4-5D6E-409C-BE32-E72D297353CC}">
              <c16:uniqueId val="{00000000-E3C4-4F08-94FB-37E7BB77D4F9}"/>
            </c:ext>
          </c:extLst>
        </c:ser>
        <c:dLbls>
          <c:showLegendKey val="0"/>
          <c:showVal val="0"/>
          <c:showCatName val="0"/>
          <c:showSerName val="0"/>
          <c:showPercent val="0"/>
          <c:showBubbleSize val="0"/>
        </c:dLbls>
        <c:gapWidth val="0"/>
        <c:overlap val="100"/>
        <c:axId val="323268664"/>
        <c:axId val="323263960"/>
      </c:barChart>
      <c:lineChart>
        <c:grouping val="standard"/>
        <c:varyColors val="0"/>
        <c:ser>
          <c:idx val="1"/>
          <c:order val="1"/>
          <c:tx>
            <c:strRef>
              <c:f>'Low Capex Case'!$A$80</c:f>
              <c:strCache>
                <c:ptCount val="1"/>
                <c:pt idx="0">
                  <c:v>Gold price forecast</c:v>
                </c:pt>
              </c:strCache>
            </c:strRef>
          </c:tx>
          <c:spPr>
            <a:ln w="28575">
              <a:solidFill>
                <a:srgbClr val="FFC000"/>
              </a:solidFill>
            </a:ln>
          </c:spPr>
          <c:marker>
            <c:symbol val="none"/>
          </c:marker>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Case'!$D$80:$M$80</c:f>
              <c:numCache>
                <c:formatCode>#,##0</c:formatCode>
                <c:ptCount val="10"/>
                <c:pt idx="0">
                  <c:v>2000</c:v>
                </c:pt>
                <c:pt idx="1">
                  <c:v>2000</c:v>
                </c:pt>
                <c:pt idx="2">
                  <c:v>2000</c:v>
                </c:pt>
                <c:pt idx="3">
                  <c:v>2000</c:v>
                </c:pt>
                <c:pt idx="4">
                  <c:v>2000</c:v>
                </c:pt>
                <c:pt idx="5">
                  <c:v>2000</c:v>
                </c:pt>
                <c:pt idx="6">
                  <c:v>2000</c:v>
                </c:pt>
                <c:pt idx="7">
                  <c:v>2000</c:v>
                </c:pt>
                <c:pt idx="8">
                  <c:v>2000</c:v>
                </c:pt>
                <c:pt idx="9">
                  <c:v>2000</c:v>
                </c:pt>
              </c:numCache>
            </c:numRef>
          </c:val>
          <c:smooth val="0"/>
          <c:extLst>
            <c:ext xmlns:c16="http://schemas.microsoft.com/office/drawing/2014/chart" uri="{C3380CC4-5D6E-409C-BE32-E72D297353CC}">
              <c16:uniqueId val="{00000001-E3C4-4F08-94FB-37E7BB77D4F9}"/>
            </c:ext>
          </c:extLst>
        </c:ser>
        <c:ser>
          <c:idx val="3"/>
          <c:order val="2"/>
          <c:tx>
            <c:strRef>
              <c:f>'Low Capex Case'!$A$211</c:f>
              <c:strCache>
                <c:ptCount val="1"/>
                <c:pt idx="0">
                  <c:v>opex including gov't royalty</c:v>
                </c:pt>
              </c:strCache>
            </c:strRef>
          </c:tx>
          <c:spPr>
            <a:ln w="73025">
              <a:solidFill>
                <a:schemeClr val="accent6">
                  <a:lumMod val="60000"/>
                  <a:lumOff val="40000"/>
                </a:schemeClr>
              </a:solidFill>
              <a:prstDash val="sysDot"/>
            </a:ln>
          </c:spPr>
          <c:marker>
            <c:symbol val="none"/>
          </c:marker>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Case'!$D$211:$M$211</c:f>
              <c:numCache>
                <c:formatCode>#,##0</c:formatCode>
                <c:ptCount val="10"/>
                <c:pt idx="0">
                  <c:v>0</c:v>
                </c:pt>
                <c:pt idx="1">
                  <c:v>0</c:v>
                </c:pt>
                <c:pt idx="2">
                  <c:v>0</c:v>
                </c:pt>
                <c:pt idx="3">
                  <c:v>1646.1850722172144</c:v>
                </c:pt>
                <c:pt idx="4">
                  <c:v>1124.6806502758707</c:v>
                </c:pt>
                <c:pt idx="5">
                  <c:v>1103.7139366302097</c:v>
                </c:pt>
                <c:pt idx="6">
                  <c:v>1184.6767478352501</c:v>
                </c:pt>
                <c:pt idx="7">
                  <c:v>1183.2384639173079</c:v>
                </c:pt>
                <c:pt idx="8">
                  <c:v>1887.9257069117102</c:v>
                </c:pt>
                <c:pt idx="9">
                  <c:v>0</c:v>
                </c:pt>
              </c:numCache>
            </c:numRef>
          </c:val>
          <c:smooth val="0"/>
          <c:extLst>
            <c:ext xmlns:c16="http://schemas.microsoft.com/office/drawing/2014/chart" uri="{C3380CC4-5D6E-409C-BE32-E72D297353CC}">
              <c16:uniqueId val="{00000002-E3C4-4F08-94FB-37E7BB77D4F9}"/>
            </c:ext>
          </c:extLst>
        </c:ser>
        <c:dLbls>
          <c:showLegendKey val="0"/>
          <c:showVal val="0"/>
          <c:showCatName val="0"/>
          <c:showSerName val="0"/>
          <c:showPercent val="0"/>
          <c:showBubbleSize val="0"/>
        </c:dLbls>
        <c:marker val="1"/>
        <c:smooth val="0"/>
        <c:axId val="323266312"/>
        <c:axId val="323269056"/>
      </c:lineChart>
      <c:catAx>
        <c:axId val="323268664"/>
        <c:scaling>
          <c:orientation val="minMax"/>
        </c:scaling>
        <c:delete val="0"/>
        <c:axPos val="b"/>
        <c:numFmt formatCode="General" sourceLinked="1"/>
        <c:majorTickMark val="out"/>
        <c:minorTickMark val="none"/>
        <c:tickLblPos val="nextTo"/>
        <c:txPr>
          <a:bodyPr/>
          <a:lstStyle/>
          <a:p>
            <a:pPr>
              <a:defRPr sz="1000"/>
            </a:pPr>
            <a:endParaRPr lang="en-US"/>
          </a:p>
        </c:txPr>
        <c:crossAx val="323263960"/>
        <c:crosses val="autoZero"/>
        <c:auto val="1"/>
        <c:lblAlgn val="ctr"/>
        <c:lblOffset val="100"/>
        <c:noMultiLvlLbl val="0"/>
      </c:catAx>
      <c:valAx>
        <c:axId val="323263960"/>
        <c:scaling>
          <c:orientation val="minMax"/>
        </c:scaling>
        <c:delete val="0"/>
        <c:axPos val="l"/>
        <c:majorGridlines/>
        <c:title>
          <c:tx>
            <c:rich>
              <a:bodyPr rot="-5400000" vert="horz"/>
              <a:lstStyle/>
              <a:p>
                <a:pPr>
                  <a:defRPr sz="1200">
                    <a:solidFill>
                      <a:srgbClr val="FFCC00"/>
                    </a:solidFill>
                  </a:defRPr>
                </a:pPr>
                <a:r>
                  <a:rPr lang="en-US" sz="1200">
                    <a:solidFill>
                      <a:srgbClr val="FFCC00"/>
                    </a:solidFill>
                  </a:rPr>
                  <a:t>Gold Ounces (000's)</a:t>
                </a:r>
              </a:p>
            </c:rich>
          </c:tx>
          <c:layout>
            <c:manualLayout>
              <c:xMode val="edge"/>
              <c:yMode val="edge"/>
              <c:x val="1.7886443264359397E-2"/>
              <c:y val="0.19355093694683514"/>
            </c:manualLayout>
          </c:layout>
          <c:overlay val="0"/>
        </c:title>
        <c:numFmt formatCode="General" sourceLinked="1"/>
        <c:majorTickMark val="out"/>
        <c:minorTickMark val="none"/>
        <c:tickLblPos val="nextTo"/>
        <c:txPr>
          <a:bodyPr/>
          <a:lstStyle/>
          <a:p>
            <a:pPr>
              <a:defRPr sz="1100" b="0" baseline="0">
                <a:solidFill>
                  <a:srgbClr val="FFCC00"/>
                </a:solidFill>
              </a:defRPr>
            </a:pPr>
            <a:endParaRPr lang="en-US"/>
          </a:p>
        </c:txPr>
        <c:crossAx val="323268664"/>
        <c:crosses val="autoZero"/>
        <c:crossBetween val="between"/>
      </c:valAx>
      <c:catAx>
        <c:axId val="323266312"/>
        <c:scaling>
          <c:orientation val="minMax"/>
        </c:scaling>
        <c:delete val="1"/>
        <c:axPos val="b"/>
        <c:numFmt formatCode="General" sourceLinked="1"/>
        <c:majorTickMark val="out"/>
        <c:minorTickMark val="none"/>
        <c:tickLblPos val="nextTo"/>
        <c:crossAx val="323269056"/>
        <c:crosses val="autoZero"/>
        <c:auto val="1"/>
        <c:lblAlgn val="ctr"/>
        <c:lblOffset val="100"/>
        <c:noMultiLvlLbl val="0"/>
      </c:catAx>
      <c:valAx>
        <c:axId val="323269056"/>
        <c:scaling>
          <c:orientation val="minMax"/>
        </c:scaling>
        <c:delete val="0"/>
        <c:axPos val="r"/>
        <c:title>
          <c:tx>
            <c:rich>
              <a:bodyPr rot="-5400000" vert="horz"/>
              <a:lstStyle/>
              <a:p>
                <a:pPr>
                  <a:defRPr sz="1200">
                    <a:solidFill>
                      <a:schemeClr val="accent6"/>
                    </a:solidFill>
                  </a:defRPr>
                </a:pPr>
                <a:r>
                  <a:rPr lang="en-AU" sz="1200">
                    <a:solidFill>
                      <a:schemeClr val="accent6"/>
                    </a:solidFill>
                  </a:rPr>
                  <a:t>US$/ounce</a:t>
                </a:r>
              </a:p>
            </c:rich>
          </c:tx>
          <c:layout>
            <c:manualLayout>
              <c:xMode val="edge"/>
              <c:yMode val="edge"/>
              <c:x val="0.9113135289906944"/>
              <c:y val="0.24784981460193437"/>
            </c:manualLayout>
          </c:layout>
          <c:overlay val="0"/>
        </c:title>
        <c:numFmt formatCode="#,##0" sourceLinked="1"/>
        <c:majorTickMark val="out"/>
        <c:minorTickMark val="none"/>
        <c:tickLblPos val="nextTo"/>
        <c:txPr>
          <a:bodyPr/>
          <a:lstStyle/>
          <a:p>
            <a:pPr>
              <a:defRPr sz="1100" b="0" baseline="0">
                <a:solidFill>
                  <a:schemeClr val="accent6"/>
                </a:solidFill>
              </a:defRPr>
            </a:pPr>
            <a:endParaRPr lang="en-US"/>
          </a:p>
        </c:txPr>
        <c:crossAx val="323266312"/>
        <c:crosses val="max"/>
        <c:crossBetween val="between"/>
      </c:valAx>
    </c:plotArea>
    <c:legend>
      <c:legendPos val="b"/>
      <c:layout>
        <c:manualLayout>
          <c:xMode val="edge"/>
          <c:yMode val="edge"/>
          <c:x val="1.8133381054640896E-2"/>
          <c:y val="0.83168967216090306"/>
          <c:w val="0.93885087091386299"/>
          <c:h val="0.14152484506944862"/>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a:t>
            </a:r>
            <a:r>
              <a:rPr lang="en-US" sz="1400"/>
              <a:t>- NPV </a:t>
            </a:r>
          </a:p>
        </c:rich>
      </c:tx>
      <c:layout>
        <c:manualLayout>
          <c:xMode val="edge"/>
          <c:yMode val="edge"/>
          <c:x val="0.36794724962563363"/>
          <c:y val="5.3191514115296677E-2"/>
        </c:manualLayout>
      </c:layout>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'Low Capex Case'!$A$263</c:f>
              <c:strCache>
                <c:ptCount val="1"/>
                <c:pt idx="0">
                  <c:v>Discounted Cashflow - Low Capex Case</c:v>
                </c:pt>
              </c:strCache>
            </c:strRef>
          </c:tx>
          <c:spPr>
            <a:solidFill>
              <a:schemeClr val="accent6">
                <a:lumMod val="40000"/>
                <a:lumOff val="60000"/>
              </a:schemeClr>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Case'!$D$263:$M$263</c:f>
              <c:numCache>
                <c:formatCode>#,##0_);[Red]\(#,##0\)</c:formatCode>
                <c:ptCount val="10"/>
                <c:pt idx="0">
                  <c:v>-1924.5008972987523</c:v>
                </c:pt>
                <c:pt idx="1">
                  <c:v>-18710.425390404533</c:v>
                </c:pt>
                <c:pt idx="2">
                  <c:v>-19791.142200873222</c:v>
                </c:pt>
                <c:pt idx="3">
                  <c:v>-4673.8874010008012</c:v>
                </c:pt>
                <c:pt idx="4">
                  <c:v>18261.081114843015</c:v>
                </c:pt>
                <c:pt idx="5">
                  <c:v>17392.580767412179</c:v>
                </c:pt>
                <c:pt idx="6">
                  <c:v>14406.256853193459</c:v>
                </c:pt>
                <c:pt idx="7">
                  <c:v>12578.293597177508</c:v>
                </c:pt>
                <c:pt idx="8">
                  <c:v>6290.0830863338497</c:v>
                </c:pt>
                <c:pt idx="9">
                  <c:v>-19254.591722345336</c:v>
                </c:pt>
              </c:numCache>
            </c:numRef>
          </c:val>
          <c:extLst>
            <c:ext xmlns:c16="http://schemas.microsoft.com/office/drawing/2014/chart" uri="{C3380CC4-5D6E-409C-BE32-E72D297353CC}">
              <c16:uniqueId val="{00000000-7CAB-402B-B8D3-46136C00C72C}"/>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'Low Capex Case'!$A$264</c:f>
              <c:strCache>
                <c:ptCount val="1"/>
                <c:pt idx="0">
                  <c:v>Cumulative NPV - Low Capex Case</c:v>
                </c:pt>
              </c:strCache>
            </c:strRef>
          </c:tx>
          <c:spPr>
            <a:ln w="44450">
              <a:solidFill>
                <a:schemeClr val="accent6">
                  <a:lumMod val="75000"/>
                </a:schemeClr>
              </a:solidFill>
            </a:ln>
          </c:spPr>
          <c:marker>
            <c:symbol val="none"/>
          </c:marker>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Case'!$D$264:$M$264</c:f>
              <c:numCache>
                <c:formatCode>#,##0_);[Red]\(#,##0\)</c:formatCode>
                <c:ptCount val="10"/>
                <c:pt idx="0">
                  <c:v>-1924.5008972987523</c:v>
                </c:pt>
                <c:pt idx="1">
                  <c:v>-20634.926287703285</c:v>
                </c:pt>
                <c:pt idx="2">
                  <c:v>-40426.068488576508</c:v>
                </c:pt>
                <c:pt idx="3">
                  <c:v>-45099.955889577308</c:v>
                </c:pt>
                <c:pt idx="4">
                  <c:v>-26838.874774734293</c:v>
                </c:pt>
                <c:pt idx="5">
                  <c:v>-9446.2940073221143</c:v>
                </c:pt>
                <c:pt idx="6">
                  <c:v>4959.9628458713451</c:v>
                </c:pt>
                <c:pt idx="7">
                  <c:v>17538.256443048853</c:v>
                </c:pt>
                <c:pt idx="8">
                  <c:v>23828.339529382702</c:v>
                </c:pt>
                <c:pt idx="9">
                  <c:v>4573.7478070373654</c:v>
                </c:pt>
              </c:numCache>
            </c:numRef>
          </c:val>
          <c:smooth val="0"/>
          <c:extLst>
            <c:ext xmlns:c16="http://schemas.microsoft.com/office/drawing/2014/chart" uri="{C3380CC4-5D6E-409C-BE32-E72D297353CC}">
              <c16:uniqueId val="{00000001-7CAB-402B-B8D3-46136C00C72C}"/>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1.3199698076956068E-2"/>
              <c:y val="0.3876921860671030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a:t>
            </a:r>
            <a:r>
              <a:rPr lang="en-US" sz="1400"/>
              <a:t>- Opex</a:t>
            </a:r>
          </a:p>
        </c:rich>
      </c:tx>
      <c:overlay val="1"/>
    </c:title>
    <c:autoTitleDeleted val="0"/>
    <c:plotArea>
      <c:layout>
        <c:manualLayout>
          <c:layoutTarget val="inner"/>
          <c:xMode val="edge"/>
          <c:yMode val="edge"/>
          <c:x val="0.12362077215108147"/>
          <c:y val="0.1766009617925276"/>
          <c:w val="0.6019015544558739"/>
          <c:h val="0.53386460920572842"/>
        </c:manualLayout>
      </c:layout>
      <c:barChart>
        <c:barDir val="col"/>
        <c:grouping val="stacked"/>
        <c:varyColors val="0"/>
        <c:ser>
          <c:idx val="0"/>
          <c:order val="0"/>
          <c:tx>
            <c:strRef>
              <c:f>'Low Capex Case'!$A$158</c:f>
              <c:strCache>
                <c:ptCount val="1"/>
                <c:pt idx="0">
                  <c:v>mining opex</c:v>
                </c:pt>
              </c:strCache>
            </c:strRef>
          </c:tx>
          <c:spPr>
            <a:solidFill>
              <a:srgbClr val="CC9900"/>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Case'!$D$158:$M$158</c:f>
              <c:numCache>
                <c:formatCode>#,##0</c:formatCode>
                <c:ptCount val="10"/>
                <c:pt idx="0">
                  <c:v>0</c:v>
                </c:pt>
                <c:pt idx="1">
                  <c:v>0</c:v>
                </c:pt>
                <c:pt idx="2">
                  <c:v>3800</c:v>
                </c:pt>
                <c:pt idx="3">
                  <c:v>9300</c:v>
                </c:pt>
                <c:pt idx="4">
                  <c:v>10600</c:v>
                </c:pt>
                <c:pt idx="5">
                  <c:v>10900</c:v>
                </c:pt>
                <c:pt idx="6">
                  <c:v>9600</c:v>
                </c:pt>
                <c:pt idx="7">
                  <c:v>9620</c:v>
                </c:pt>
                <c:pt idx="8">
                  <c:v>6750</c:v>
                </c:pt>
                <c:pt idx="9">
                  <c:v>0</c:v>
                </c:pt>
              </c:numCache>
            </c:numRef>
          </c:val>
          <c:extLst>
            <c:ext xmlns:c16="http://schemas.microsoft.com/office/drawing/2014/chart" uri="{C3380CC4-5D6E-409C-BE32-E72D297353CC}">
              <c16:uniqueId val="{00000000-7D15-4E08-9994-38657E453C56}"/>
            </c:ext>
          </c:extLst>
        </c:ser>
        <c:ser>
          <c:idx val="2"/>
          <c:order val="1"/>
          <c:tx>
            <c:strRef>
              <c:f>'Low Capex Case'!$A$174</c:f>
              <c:strCache>
                <c:ptCount val="1"/>
                <c:pt idx="0">
                  <c:v>processing opex</c:v>
                </c:pt>
              </c:strCache>
            </c:strRef>
          </c:tx>
          <c:spPr>
            <a:solidFill>
              <a:srgbClr val="FFC000"/>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Case'!$D$174:$M$174</c:f>
              <c:numCache>
                <c:formatCode>#,##0</c:formatCode>
                <c:ptCount val="10"/>
                <c:pt idx="0">
                  <c:v>0</c:v>
                </c:pt>
                <c:pt idx="1">
                  <c:v>0</c:v>
                </c:pt>
                <c:pt idx="2">
                  <c:v>0</c:v>
                </c:pt>
                <c:pt idx="3">
                  <c:v>21049.646302250803</c:v>
                </c:pt>
                <c:pt idx="4">
                  <c:v>30975.819935691317</c:v>
                </c:pt>
                <c:pt idx="5">
                  <c:v>31117.813504823152</c:v>
                </c:pt>
                <c:pt idx="6">
                  <c:v>30691.832797427654</c:v>
                </c:pt>
                <c:pt idx="7">
                  <c:v>30691.832797427654</c:v>
                </c:pt>
                <c:pt idx="8">
                  <c:v>16490.932475884245</c:v>
                </c:pt>
                <c:pt idx="9">
                  <c:v>0</c:v>
                </c:pt>
              </c:numCache>
            </c:numRef>
          </c:val>
          <c:extLst>
            <c:ext xmlns:c16="http://schemas.microsoft.com/office/drawing/2014/chart" uri="{C3380CC4-5D6E-409C-BE32-E72D297353CC}">
              <c16:uniqueId val="{00000001-7D15-4E08-9994-38657E453C56}"/>
            </c:ext>
          </c:extLst>
        </c:ser>
        <c:ser>
          <c:idx val="3"/>
          <c:order val="2"/>
          <c:tx>
            <c:strRef>
              <c:f>'Low Capex Case'!$A$185</c:f>
              <c:strCache>
                <c:ptCount val="1"/>
                <c:pt idx="0">
                  <c:v>General &amp; Administration</c:v>
                </c:pt>
              </c:strCache>
            </c:strRef>
          </c:tx>
          <c:spPr>
            <a:solidFill>
              <a:srgbClr val="FFFF00"/>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Case'!$D$185:$M$185</c:f>
              <c:numCache>
                <c:formatCode>#,##0</c:formatCode>
                <c:ptCount val="10"/>
                <c:pt idx="0">
                  <c:v>0</c:v>
                </c:pt>
                <c:pt idx="1">
                  <c:v>0</c:v>
                </c:pt>
                <c:pt idx="2">
                  <c:v>0</c:v>
                </c:pt>
                <c:pt idx="3">
                  <c:v>9800</c:v>
                </c:pt>
                <c:pt idx="4">
                  <c:v>10200</c:v>
                </c:pt>
                <c:pt idx="5">
                  <c:v>10200</c:v>
                </c:pt>
                <c:pt idx="6">
                  <c:v>10200</c:v>
                </c:pt>
                <c:pt idx="7">
                  <c:v>10200</c:v>
                </c:pt>
                <c:pt idx="8">
                  <c:v>9600</c:v>
                </c:pt>
                <c:pt idx="9">
                  <c:v>0</c:v>
                </c:pt>
              </c:numCache>
            </c:numRef>
          </c:val>
          <c:extLst>
            <c:ext xmlns:c16="http://schemas.microsoft.com/office/drawing/2014/chart" uri="{C3380CC4-5D6E-409C-BE32-E72D297353CC}">
              <c16:uniqueId val="{00000002-7D15-4E08-9994-38657E453C56}"/>
            </c:ext>
          </c:extLst>
        </c:ser>
        <c:ser>
          <c:idx val="1"/>
          <c:order val="3"/>
          <c:tx>
            <c:strRef>
              <c:f>'Low Capex Case'!$A$192</c:f>
              <c:strCache>
                <c:ptCount val="1"/>
                <c:pt idx="0">
                  <c:v>Private Royalties</c:v>
                </c:pt>
              </c:strCache>
            </c:strRef>
          </c:tx>
          <c:spPr>
            <a:solidFill>
              <a:schemeClr val="accent6">
                <a:lumMod val="50000"/>
              </a:schemeClr>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Case'!$D$192:$M$192</c:f>
              <c:numCache>
                <c:formatCode>#,##0</c:formatCode>
                <c:ptCount val="10"/>
                <c:pt idx="0">
                  <c:v>0</c:v>
                </c:pt>
                <c:pt idx="1">
                  <c:v>0</c:v>
                </c:pt>
                <c:pt idx="2">
                  <c:v>0</c:v>
                </c:pt>
                <c:pt idx="3">
                  <c:v>531.34353643537452</c:v>
                </c:pt>
                <c:pt idx="4">
                  <c:v>1134.7873374918261</c:v>
                </c:pt>
                <c:pt idx="5">
                  <c:v>1274.4965931306947</c:v>
                </c:pt>
                <c:pt idx="6">
                  <c:v>1176.0362066687221</c:v>
                </c:pt>
                <c:pt idx="7">
                  <c:v>1154.7497958589004</c:v>
                </c:pt>
                <c:pt idx="8">
                  <c:v>671.67334713473997</c:v>
                </c:pt>
                <c:pt idx="9">
                  <c:v>0</c:v>
                </c:pt>
              </c:numCache>
            </c:numRef>
          </c:val>
          <c:extLst>
            <c:ext xmlns:c16="http://schemas.microsoft.com/office/drawing/2014/chart" uri="{C3380CC4-5D6E-409C-BE32-E72D297353CC}">
              <c16:uniqueId val="{00000003-7D15-4E08-9994-38657E453C56}"/>
            </c:ext>
          </c:extLst>
        </c:ser>
        <c:dLbls>
          <c:showLegendKey val="0"/>
          <c:showVal val="0"/>
          <c:showCatName val="0"/>
          <c:showSerName val="0"/>
          <c:showPercent val="0"/>
          <c:showBubbleSize val="0"/>
        </c:dLbls>
        <c:gapWidth val="0"/>
        <c:overlap val="100"/>
        <c:axId val="320192040"/>
        <c:axId val="320194784"/>
      </c:barChart>
      <c:catAx>
        <c:axId val="320192040"/>
        <c:scaling>
          <c:orientation val="minMax"/>
        </c:scaling>
        <c:delete val="0"/>
        <c:axPos val="b"/>
        <c:numFmt formatCode="General" sourceLinked="1"/>
        <c:majorTickMark val="out"/>
        <c:minorTickMark val="none"/>
        <c:tickLblPos val="nextTo"/>
        <c:txPr>
          <a:bodyPr rot="-5400000" vert="horz"/>
          <a:lstStyle/>
          <a:p>
            <a:pPr algn="ctr">
              <a:defRPr lang="en-US" sz="1000" b="0" i="0" u="none" strike="noStrike" kern="1200" baseline="0">
                <a:solidFill>
                  <a:schemeClr val="tx1"/>
                </a:solidFill>
                <a:latin typeface="+mn-lt"/>
                <a:ea typeface="+mn-ea"/>
                <a:cs typeface="+mn-cs"/>
              </a:defRPr>
            </a:pPr>
            <a:endParaRPr lang="en-US"/>
          </a:p>
        </c:txPr>
        <c:crossAx val="320194784"/>
        <c:crosses val="autoZero"/>
        <c:auto val="1"/>
        <c:lblAlgn val="ctr"/>
        <c:lblOffset val="100"/>
        <c:noMultiLvlLbl val="0"/>
      </c:catAx>
      <c:valAx>
        <c:axId val="320194784"/>
        <c:scaling>
          <c:orientation val="minMax"/>
        </c:scaling>
        <c:delete val="0"/>
        <c:axPos val="l"/>
        <c:majorGridlines/>
        <c:title>
          <c:tx>
            <c:rich>
              <a:bodyPr rot="-5400000" vert="horz"/>
              <a:lstStyle/>
              <a:p>
                <a:pPr>
                  <a:defRPr sz="1200" b="1"/>
                </a:pPr>
                <a:r>
                  <a:rPr lang="en-US" sz="1200" b="1"/>
                  <a:t>A$M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2040"/>
        <c:crosses val="autoZero"/>
        <c:crossBetween val="between"/>
        <c:dispUnits>
          <c:builtInUnit val="thousands"/>
        </c:dispUnits>
      </c:valAx>
    </c:plotArea>
    <c:legend>
      <c:legendPos val="r"/>
      <c:layout>
        <c:manualLayout>
          <c:xMode val="edge"/>
          <c:yMode val="edge"/>
          <c:x val="0.71497453134563715"/>
          <c:y val="0.17835001780556325"/>
          <c:w val="0.28117157329856063"/>
          <c:h val="0.71863780846489678"/>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 </a:t>
            </a:r>
            <a:r>
              <a:rPr lang="en-US" sz="1400"/>
              <a:t>Capex</a:t>
            </a:r>
          </a:p>
        </c:rich>
      </c:tx>
      <c:layout>
        <c:manualLayout>
          <c:xMode val="edge"/>
          <c:yMode val="edge"/>
          <c:x val="0.27005378558449422"/>
          <c:y val="5.4794520547945202E-2"/>
        </c:manualLayout>
      </c:layout>
      <c:overlay val="1"/>
    </c:title>
    <c:autoTitleDeleted val="0"/>
    <c:plotArea>
      <c:layout>
        <c:manualLayout>
          <c:layoutTarget val="inner"/>
          <c:xMode val="edge"/>
          <c:yMode val="edge"/>
          <c:x val="0.18897995253745864"/>
          <c:y val="0.16988953377835198"/>
          <c:w val="0.76558945894688757"/>
          <c:h val="0.52051504692050476"/>
        </c:manualLayout>
      </c:layout>
      <c:barChart>
        <c:barDir val="col"/>
        <c:grouping val="stacked"/>
        <c:varyColors val="0"/>
        <c:ser>
          <c:idx val="0"/>
          <c:order val="0"/>
          <c:tx>
            <c:strRef>
              <c:f>'Low Capex Case'!$A$102</c:f>
              <c:strCache>
                <c:ptCount val="1"/>
                <c:pt idx="0">
                  <c:v>Initial capex</c:v>
                </c:pt>
              </c:strCache>
            </c:strRef>
          </c:tx>
          <c:spPr>
            <a:solidFill>
              <a:srgbClr val="0070C0"/>
            </a:solidFill>
            <a:ln>
              <a:noFill/>
            </a:ln>
          </c:spPr>
          <c:invertIfNegative val="0"/>
          <c:cat>
            <c:numRef>
              <c:f>'Low Capex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Case'!$D$102:$M$102</c:f>
              <c:numCache>
                <c:formatCode>#,##0</c:formatCode>
                <c:ptCount val="10"/>
                <c:pt idx="0">
                  <c:v>2000</c:v>
                </c:pt>
                <c:pt idx="1">
                  <c:v>21000</c:v>
                </c:pt>
                <c:pt idx="2">
                  <c:v>20000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CFB-4B27-B8E4-A0C5CCB6EB6D}"/>
            </c:ext>
          </c:extLst>
        </c:ser>
        <c:ser>
          <c:idx val="2"/>
          <c:order val="1"/>
          <c:tx>
            <c:strRef>
              <c:f>'Low Capex Case'!$A$111</c:f>
              <c:strCache>
                <c:ptCount val="1"/>
                <c:pt idx="0">
                  <c:v>ongoing capex</c:v>
                </c:pt>
              </c:strCache>
            </c:strRef>
          </c:tx>
          <c:spPr>
            <a:solidFill>
              <a:schemeClr val="accent5">
                <a:lumMod val="40000"/>
                <a:lumOff val="60000"/>
              </a:schemeClr>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Case'!$D$111:$M$111</c:f>
              <c:numCache>
                <c:formatCode>#,##0</c:formatCode>
                <c:ptCount val="10"/>
                <c:pt idx="0">
                  <c:v>0</c:v>
                </c:pt>
                <c:pt idx="1">
                  <c:v>0</c:v>
                </c:pt>
                <c:pt idx="2">
                  <c:v>0</c:v>
                </c:pt>
                <c:pt idx="3">
                  <c:v>6450</c:v>
                </c:pt>
                <c:pt idx="4">
                  <c:v>6450</c:v>
                </c:pt>
                <c:pt idx="5">
                  <c:v>7950</c:v>
                </c:pt>
                <c:pt idx="6">
                  <c:v>6450</c:v>
                </c:pt>
                <c:pt idx="7">
                  <c:v>6450</c:v>
                </c:pt>
                <c:pt idx="8">
                  <c:v>6450</c:v>
                </c:pt>
                <c:pt idx="9">
                  <c:v>0</c:v>
                </c:pt>
              </c:numCache>
            </c:numRef>
          </c:val>
          <c:extLst>
            <c:ext xmlns:c16="http://schemas.microsoft.com/office/drawing/2014/chart" uri="{C3380CC4-5D6E-409C-BE32-E72D297353CC}">
              <c16:uniqueId val="{00000001-FCFB-4B27-B8E4-A0C5CCB6EB6D}"/>
            </c:ext>
          </c:extLst>
        </c:ser>
        <c:dLbls>
          <c:showLegendKey val="0"/>
          <c:showVal val="0"/>
          <c:showCatName val="0"/>
          <c:showSerName val="0"/>
          <c:showPercent val="0"/>
          <c:showBubbleSize val="0"/>
        </c:dLbls>
        <c:gapWidth val="0"/>
        <c:overlap val="100"/>
        <c:axId val="320193216"/>
        <c:axId val="320195176"/>
      </c:barChart>
      <c:catAx>
        <c:axId val="320193216"/>
        <c:scaling>
          <c:orientation val="minMax"/>
        </c:scaling>
        <c:delete val="0"/>
        <c:axPos val="b"/>
        <c:numFmt formatCode="General" sourceLinked="1"/>
        <c:majorTickMark val="out"/>
        <c:minorTickMark val="none"/>
        <c:tickLblPos val="nextTo"/>
        <c:txPr>
          <a:bodyPr/>
          <a:lstStyle/>
          <a:p>
            <a:pPr>
              <a:defRPr sz="1000" b="0"/>
            </a:pPr>
            <a:endParaRPr lang="en-US"/>
          </a:p>
        </c:txPr>
        <c:crossAx val="320195176"/>
        <c:crosses val="autoZero"/>
        <c:auto val="1"/>
        <c:lblAlgn val="ctr"/>
        <c:lblOffset val="100"/>
        <c:noMultiLvlLbl val="0"/>
      </c:catAx>
      <c:valAx>
        <c:axId val="320195176"/>
        <c:scaling>
          <c:orientation val="minMax"/>
        </c:scaling>
        <c:delete val="0"/>
        <c:axPos val="l"/>
        <c:majorGridlines/>
        <c:title>
          <c:tx>
            <c:rich>
              <a:bodyPr rot="-5400000" vert="horz"/>
              <a:lstStyle/>
              <a:p>
                <a:pPr>
                  <a:defRPr sz="1200" b="1"/>
                </a:pPr>
                <a:r>
                  <a:rPr lang="en-US" sz="1200" b="1"/>
                  <a:t>A$M</a:t>
                </a:r>
              </a:p>
            </c:rich>
          </c:tx>
          <c:layout>
            <c:manualLayout>
              <c:xMode val="edge"/>
              <c:yMode val="edge"/>
              <c:x val="6.8426408237431862E-3"/>
              <c:y val="0.31347643188437069"/>
            </c:manualLayout>
          </c:layout>
          <c:overlay val="0"/>
        </c:title>
        <c:numFmt formatCode="#,##0" sourceLinked="1"/>
        <c:majorTickMark val="out"/>
        <c:minorTickMark val="none"/>
        <c:tickLblPos val="nextTo"/>
        <c:txPr>
          <a:bodyPr/>
          <a:lstStyle/>
          <a:p>
            <a:pPr>
              <a:defRPr sz="1000" b="0"/>
            </a:pPr>
            <a:endParaRPr lang="en-US"/>
          </a:p>
        </c:txPr>
        <c:crossAx val="320193216"/>
        <c:crosses val="autoZero"/>
        <c:crossBetween val="between"/>
        <c:dispUnits>
          <c:builtInUnit val="thousands"/>
        </c:dispUnits>
      </c:valAx>
    </c:plotArea>
    <c:legend>
      <c:legendPos val="b"/>
      <c:layout>
        <c:manualLayout>
          <c:xMode val="edge"/>
          <c:yMode val="edge"/>
          <c:x val="0.12138325665411917"/>
          <c:y val="0.86503317854498962"/>
          <c:w val="0.82040270940158455"/>
          <c:h val="0.11445400094218992"/>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a:t>
            </a:r>
            <a:r>
              <a:rPr lang="en-US" sz="1400"/>
              <a:t>- Taxes</a:t>
            </a:r>
          </a:p>
        </c:rich>
      </c:tx>
      <c:overlay val="1"/>
    </c:title>
    <c:autoTitleDeleted val="0"/>
    <c:plotArea>
      <c:layout>
        <c:manualLayout>
          <c:layoutTarget val="inner"/>
          <c:xMode val="edge"/>
          <c:yMode val="edge"/>
          <c:x val="0.14472902020900982"/>
          <c:y val="0.16988953377835198"/>
          <c:w val="0.74435965466787291"/>
          <c:h val="0.54050411630235029"/>
        </c:manualLayout>
      </c:layout>
      <c:barChart>
        <c:barDir val="col"/>
        <c:grouping val="stacked"/>
        <c:varyColors val="0"/>
        <c:ser>
          <c:idx val="0"/>
          <c:order val="0"/>
          <c:tx>
            <c:strRef>
              <c:f>'Low Capex Case'!$A$219</c:f>
              <c:strCache>
                <c:ptCount val="1"/>
                <c:pt idx="0">
                  <c:v>State Royalty</c:v>
                </c:pt>
              </c:strCache>
            </c:strRef>
          </c:tx>
          <c:spPr>
            <a:solidFill>
              <a:schemeClr val="accent4">
                <a:lumMod val="75000"/>
              </a:schemeClr>
            </a:solidFill>
            <a:ln>
              <a:noFill/>
            </a:ln>
          </c:spPr>
          <c:invertIfNegative val="0"/>
          <c:cat>
            <c:numRef>
              <c:f>'Low Capex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Case'!$D$219:$M$219</c:f>
              <c:numCache>
                <c:formatCode>#,##0</c:formatCode>
                <c:ptCount val="10"/>
                <c:pt idx="0">
                  <c:v>0</c:v>
                </c:pt>
                <c:pt idx="1">
                  <c:v>0</c:v>
                </c:pt>
                <c:pt idx="2">
                  <c:v>0</c:v>
                </c:pt>
                <c:pt idx="3">
                  <c:v>1275.2244874448988</c:v>
                </c:pt>
                <c:pt idx="4">
                  <c:v>2723.4896099803823</c:v>
                </c:pt>
                <c:pt idx="5">
                  <c:v>3058.7918235136667</c:v>
                </c:pt>
                <c:pt idx="6">
                  <c:v>2822.486896004933</c:v>
                </c:pt>
                <c:pt idx="7">
                  <c:v>2771.3995100613606</c:v>
                </c:pt>
                <c:pt idx="8">
                  <c:v>1612.0160331233758</c:v>
                </c:pt>
                <c:pt idx="9">
                  <c:v>0</c:v>
                </c:pt>
              </c:numCache>
            </c:numRef>
          </c:val>
          <c:extLst>
            <c:ext xmlns:c16="http://schemas.microsoft.com/office/drawing/2014/chart" uri="{C3380CC4-5D6E-409C-BE32-E72D297353CC}">
              <c16:uniqueId val="{00000000-9454-4506-939D-869C2A856BAA}"/>
            </c:ext>
          </c:extLst>
        </c:ser>
        <c:ser>
          <c:idx val="2"/>
          <c:order val="1"/>
          <c:tx>
            <c:strRef>
              <c:f>'Low Capex Case'!$A$241</c:f>
              <c:strCache>
                <c:ptCount val="1"/>
                <c:pt idx="0">
                  <c:v>Income tax payment</c:v>
                </c:pt>
              </c:strCache>
            </c:strRef>
          </c:tx>
          <c:spPr>
            <a:solidFill>
              <a:schemeClr val="accent4">
                <a:lumMod val="40000"/>
                <a:lumOff val="60000"/>
              </a:schemeClr>
            </a:solidFill>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Case'!$D$241:$M$241</c:f>
              <c:numCache>
                <c:formatCode>#,##0</c:formatCode>
                <c:ptCount val="10"/>
                <c:pt idx="0">
                  <c:v>0</c:v>
                </c:pt>
                <c:pt idx="1">
                  <c:v>0</c:v>
                </c:pt>
                <c:pt idx="2">
                  <c:v>0</c:v>
                </c:pt>
                <c:pt idx="3">
                  <c:v>0</c:v>
                </c:pt>
                <c:pt idx="4">
                  <c:v>2620.2487330793274</c:v>
                </c:pt>
                <c:pt idx="5">
                  <c:v>10640.667270366066</c:v>
                </c:pt>
                <c:pt idx="6">
                  <c:v>9204.7766103642662</c:v>
                </c:pt>
                <c:pt idx="7">
                  <c:v>8923.3257786866798</c:v>
                </c:pt>
                <c:pt idx="8">
                  <c:v>0</c:v>
                </c:pt>
                <c:pt idx="9">
                  <c:v>0</c:v>
                </c:pt>
              </c:numCache>
            </c:numRef>
          </c:val>
          <c:extLst>
            <c:ext xmlns:c16="http://schemas.microsoft.com/office/drawing/2014/chart" uri="{C3380CC4-5D6E-409C-BE32-E72D297353CC}">
              <c16:uniqueId val="{00000001-9454-4506-939D-869C2A856BAA}"/>
            </c:ext>
          </c:extLst>
        </c:ser>
        <c:dLbls>
          <c:showLegendKey val="0"/>
          <c:showVal val="0"/>
          <c:showCatName val="0"/>
          <c:showSerName val="0"/>
          <c:showPercent val="0"/>
          <c:showBubbleSize val="0"/>
        </c:dLbls>
        <c:gapWidth val="0"/>
        <c:overlap val="100"/>
        <c:axId val="320195568"/>
        <c:axId val="320189688"/>
      </c:barChart>
      <c:catAx>
        <c:axId val="320195568"/>
        <c:scaling>
          <c:orientation val="minMax"/>
        </c:scaling>
        <c:delete val="0"/>
        <c:axPos val="b"/>
        <c:numFmt formatCode="General" sourceLinked="1"/>
        <c:majorTickMark val="out"/>
        <c:minorTickMark val="none"/>
        <c:tickLblPos val="nextTo"/>
        <c:txPr>
          <a:bodyPr/>
          <a:lstStyle/>
          <a:p>
            <a:pPr>
              <a:defRPr sz="1000" b="0"/>
            </a:pPr>
            <a:endParaRPr lang="en-US"/>
          </a:p>
        </c:txPr>
        <c:crossAx val="320189688"/>
        <c:crosses val="autoZero"/>
        <c:auto val="1"/>
        <c:lblAlgn val="ctr"/>
        <c:lblOffset val="100"/>
        <c:noMultiLvlLbl val="0"/>
      </c:catAx>
      <c:valAx>
        <c:axId val="320189688"/>
        <c:scaling>
          <c:orientation val="minMax"/>
        </c:scaling>
        <c:delete val="0"/>
        <c:axPos val="l"/>
        <c:majorGridlines/>
        <c:title>
          <c:tx>
            <c:rich>
              <a:bodyPr rot="-5400000" vert="horz"/>
              <a:lstStyle/>
              <a:p>
                <a:pPr>
                  <a:defRPr sz="1200" b="1"/>
                </a:pPr>
                <a:r>
                  <a:rPr lang="en-US" sz="1200" b="1"/>
                  <a:t>$M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5568"/>
        <c:crosses val="autoZero"/>
        <c:crossBetween val="between"/>
        <c:dispUnits>
          <c:builtInUnit val="thousands"/>
        </c:dispUnits>
      </c:valAx>
    </c:plotArea>
    <c:legend>
      <c:legendPos val="b"/>
      <c:layout>
        <c:manualLayout>
          <c:xMode val="edge"/>
          <c:yMode val="edge"/>
          <c:x val="0.14909687868942031"/>
          <c:y val="0.89922111909924307"/>
          <c:w val="0.77763203856023566"/>
          <c:h val="0.10077888090075693"/>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Low Capex Case - </a:t>
            </a:r>
            <a:r>
              <a:rPr lang="en-US" sz="1600"/>
              <a:t>Cash</a:t>
            </a:r>
            <a:endParaRPr lang="en-US" sz="1400"/>
          </a:p>
        </c:rich>
      </c:tx>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'Low Capex Case'!$A$253</c:f>
              <c:strCache>
                <c:ptCount val="1"/>
                <c:pt idx="0">
                  <c:v>Cash Generation - Low Capex Case</c:v>
                </c:pt>
              </c:strCache>
            </c:strRef>
          </c:tx>
          <c:spPr>
            <a:solidFill>
              <a:srgbClr val="33CC33"/>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Case'!$D$253:$M$253</c:f>
              <c:numCache>
                <c:formatCode>#,##0</c:formatCode>
                <c:ptCount val="10"/>
                <c:pt idx="0">
                  <c:v>-2000</c:v>
                </c:pt>
                <c:pt idx="1">
                  <c:v>-21000</c:v>
                </c:pt>
                <c:pt idx="2">
                  <c:v>-23990</c:v>
                </c:pt>
                <c:pt idx="3">
                  <c:v>-6118.7314113011089</c:v>
                </c:pt>
                <c:pt idx="4">
                  <c:v>25818.641383103219</c:v>
                </c:pt>
                <c:pt idx="5">
                  <c:v>26557.958258621991</c:v>
                </c:pt>
                <c:pt idx="6">
                  <c:v>23757.764023032199</c:v>
                </c:pt>
                <c:pt idx="7">
                  <c:v>22402.675786677428</c:v>
                </c:pt>
                <c:pt idx="8">
                  <c:v>12099.245914636835</c:v>
                </c:pt>
                <c:pt idx="9">
                  <c:v>-40000</c:v>
                </c:pt>
              </c:numCache>
            </c:numRef>
          </c:val>
          <c:extLst>
            <c:ext xmlns:c16="http://schemas.microsoft.com/office/drawing/2014/chart" uri="{C3380CC4-5D6E-409C-BE32-E72D297353CC}">
              <c16:uniqueId val="{00000000-1EDF-4C0D-9A6A-5877C4C24C49}"/>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'Low Capex Case'!$A$254</c:f>
              <c:strCache>
                <c:ptCount val="1"/>
                <c:pt idx="0">
                  <c:v>Cumulative Cash Generation - Low Capex Case</c:v>
                </c:pt>
              </c:strCache>
            </c:strRef>
          </c:tx>
          <c:spPr>
            <a:ln w="31750">
              <a:solidFill>
                <a:srgbClr val="269A26"/>
              </a:solidFill>
            </a:ln>
          </c:spPr>
          <c:marker>
            <c:symbol val="none"/>
          </c:marker>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Case'!$D$254:$M$254</c:f>
              <c:numCache>
                <c:formatCode>#,##0_);[Red]\(#,##0\)</c:formatCode>
                <c:ptCount val="10"/>
                <c:pt idx="0">
                  <c:v>-2000</c:v>
                </c:pt>
                <c:pt idx="1">
                  <c:v>-23000</c:v>
                </c:pt>
                <c:pt idx="2">
                  <c:v>-46990</c:v>
                </c:pt>
                <c:pt idx="3">
                  <c:v>-53108.731411301109</c:v>
                </c:pt>
                <c:pt idx="4">
                  <c:v>-27290.09002819789</c:v>
                </c:pt>
                <c:pt idx="5">
                  <c:v>-732.13176957589894</c:v>
                </c:pt>
                <c:pt idx="6">
                  <c:v>23025.632253456301</c:v>
                </c:pt>
                <c:pt idx="7">
                  <c:v>45428.308040133728</c:v>
                </c:pt>
                <c:pt idx="8">
                  <c:v>57527.553954770563</c:v>
                </c:pt>
                <c:pt idx="9">
                  <c:v>17527.553954770563</c:v>
                </c:pt>
              </c:numCache>
            </c:numRef>
          </c:val>
          <c:smooth val="0"/>
          <c:extLst>
            <c:ext xmlns:c16="http://schemas.microsoft.com/office/drawing/2014/chart" uri="{C3380CC4-5D6E-409C-BE32-E72D297353CC}">
              <c16:uniqueId val="{00000001-1EDF-4C0D-9A6A-5877C4C24C49}"/>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2.1291713535808023E-2"/>
              <c:y val="0.4050836471528015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Anatomy - </a:t>
            </a:r>
            <a:r>
              <a:rPr lang="en-US" sz="1400"/>
              <a:t>Four Cash Streams</a:t>
            </a:r>
          </a:p>
        </c:rich>
      </c:tx>
      <c:layout>
        <c:manualLayout>
          <c:xMode val="edge"/>
          <c:yMode val="edge"/>
          <c:x val="0.27512790474361443"/>
          <c:y val="3.1088082901554404E-2"/>
        </c:manualLayout>
      </c:layout>
      <c:overlay val="1"/>
    </c:title>
    <c:autoTitleDeleted val="0"/>
    <c:plotArea>
      <c:layout>
        <c:manualLayout>
          <c:layoutTarget val="inner"/>
          <c:xMode val="edge"/>
          <c:yMode val="edge"/>
          <c:x val="0.12511187965523352"/>
          <c:y val="0.141273935585638"/>
          <c:w val="0.83455059425235123"/>
          <c:h val="0.58576406397476166"/>
        </c:manualLayout>
      </c:layout>
      <c:barChart>
        <c:barDir val="col"/>
        <c:grouping val="stacked"/>
        <c:varyColors val="0"/>
        <c:ser>
          <c:idx val="0"/>
          <c:order val="0"/>
          <c:tx>
            <c:strRef>
              <c:f>'High Grade Short Life Case'!$A$278</c:f>
              <c:strCache>
                <c:ptCount val="1"/>
                <c:pt idx="0">
                  <c:v>Cashstream 2: Capital Costs - High Grading Case</c:v>
                </c:pt>
              </c:strCache>
            </c:strRef>
          </c:tx>
          <c:spPr>
            <a:solidFill>
              <a:srgbClr val="00B0F0"/>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Case'!$D$278:$M$278</c:f>
              <c:numCache>
                <c:formatCode>#,##0</c:formatCode>
                <c:ptCount val="10"/>
                <c:pt idx="0">
                  <c:v>-4500</c:v>
                </c:pt>
                <c:pt idx="1">
                  <c:v>-29000</c:v>
                </c:pt>
                <c:pt idx="2">
                  <c:v>-24500</c:v>
                </c:pt>
                <c:pt idx="3">
                  <c:v>-5800</c:v>
                </c:pt>
                <c:pt idx="4">
                  <c:v>-5800</c:v>
                </c:pt>
                <c:pt idx="5">
                  <c:v>-7300</c:v>
                </c:pt>
                <c:pt idx="6">
                  <c:v>-5800</c:v>
                </c:pt>
                <c:pt idx="7">
                  <c:v>0</c:v>
                </c:pt>
                <c:pt idx="8">
                  <c:v>0</c:v>
                </c:pt>
                <c:pt idx="9">
                  <c:v>0</c:v>
                </c:pt>
              </c:numCache>
            </c:numRef>
          </c:val>
          <c:extLst>
            <c:ext xmlns:c16="http://schemas.microsoft.com/office/drawing/2014/chart" uri="{C3380CC4-5D6E-409C-BE32-E72D297353CC}">
              <c16:uniqueId val="{00000000-92E9-424F-84AF-5DDA15BCDB23}"/>
            </c:ext>
          </c:extLst>
        </c:ser>
        <c:ser>
          <c:idx val="4"/>
          <c:order val="1"/>
          <c:tx>
            <c:strRef>
              <c:f>'High Grade Short Life Case'!$A$282</c:f>
              <c:strCache>
                <c:ptCount val="1"/>
                <c:pt idx="0">
                  <c:v>Cashflow Deficit</c:v>
                </c:pt>
              </c:strCache>
            </c:strRef>
          </c:tx>
          <c:spPr>
            <a:noFill/>
            <a:ln w="34925">
              <a:solidFill>
                <a:srgbClr val="00B050"/>
              </a:solidFill>
              <a:prstDash val="dash"/>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Case'!$D$282:$M$282</c:f>
              <c:numCache>
                <c:formatCode>#,##0</c:formatCode>
                <c:ptCount val="10"/>
                <c:pt idx="0">
                  <c:v>4500</c:v>
                </c:pt>
                <c:pt idx="1">
                  <c:v>29000</c:v>
                </c:pt>
                <c:pt idx="2">
                  <c:v>0</c:v>
                </c:pt>
                <c:pt idx="3">
                  <c:v>0</c:v>
                </c:pt>
                <c:pt idx="4">
                  <c:v>0</c:v>
                </c:pt>
                <c:pt idx="5">
                  <c:v>0</c:v>
                </c:pt>
                <c:pt idx="6">
                  <c:v>0</c:v>
                </c:pt>
                <c:pt idx="7">
                  <c:v>40000</c:v>
                </c:pt>
                <c:pt idx="8">
                  <c:v>0</c:v>
                </c:pt>
                <c:pt idx="9">
                  <c:v>0</c:v>
                </c:pt>
              </c:numCache>
            </c:numRef>
          </c:val>
          <c:extLst>
            <c:ext xmlns:c16="http://schemas.microsoft.com/office/drawing/2014/chart" uri="{C3380CC4-5D6E-409C-BE32-E72D297353CC}">
              <c16:uniqueId val="{00000001-92E9-424F-84AF-5DDA15BCDB23}"/>
            </c:ext>
          </c:extLst>
        </c:ser>
        <c:ser>
          <c:idx val="1"/>
          <c:order val="2"/>
          <c:tx>
            <c:strRef>
              <c:f>'High Grade Short Life Case'!$A$279</c:f>
              <c:strCache>
                <c:ptCount val="1"/>
                <c:pt idx="0">
                  <c:v>Cashstream 3: Operating Costs - High Grading Case</c:v>
                </c:pt>
              </c:strCache>
            </c:strRef>
          </c:tx>
          <c:spPr>
            <a:solidFill>
              <a:srgbClr val="FFFF00"/>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Case'!$D$279:$M$279</c:f>
              <c:numCache>
                <c:formatCode>#,##0</c:formatCode>
                <c:ptCount val="10"/>
                <c:pt idx="0">
                  <c:v>0</c:v>
                </c:pt>
                <c:pt idx="1">
                  <c:v>0</c:v>
                </c:pt>
                <c:pt idx="2">
                  <c:v>0</c:v>
                </c:pt>
                <c:pt idx="3">
                  <c:v>-36571.913589867821</c:v>
                </c:pt>
                <c:pt idx="4">
                  <c:v>-42195.364828097947</c:v>
                </c:pt>
                <c:pt idx="5">
                  <c:v>-42646.348347727682</c:v>
                </c:pt>
                <c:pt idx="6">
                  <c:v>-32522.386096042883</c:v>
                </c:pt>
                <c:pt idx="7">
                  <c:v>-40000</c:v>
                </c:pt>
                <c:pt idx="8">
                  <c:v>0</c:v>
                </c:pt>
                <c:pt idx="9">
                  <c:v>0</c:v>
                </c:pt>
              </c:numCache>
            </c:numRef>
          </c:val>
          <c:extLst>
            <c:ext xmlns:c16="http://schemas.microsoft.com/office/drawing/2014/chart" uri="{C3380CC4-5D6E-409C-BE32-E72D297353CC}">
              <c16:uniqueId val="{00000002-92E9-424F-84AF-5DDA15BCDB23}"/>
            </c:ext>
          </c:extLst>
        </c:ser>
        <c:ser>
          <c:idx val="3"/>
          <c:order val="3"/>
          <c:tx>
            <c:strRef>
              <c:f>'High Grade Short Life Case'!$A$281</c:f>
              <c:strCache>
                <c:ptCount val="1"/>
                <c:pt idx="0">
                  <c:v>Cashflow if positive</c:v>
                </c:pt>
              </c:strCache>
            </c:strRef>
          </c:tx>
          <c:spPr>
            <a:solidFill>
              <a:srgbClr val="33CC33"/>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Case'!$D$281:$M$281</c:f>
              <c:numCache>
                <c:formatCode>#,##0</c:formatCode>
                <c:ptCount val="10"/>
                <c:pt idx="0">
                  <c:v>0</c:v>
                </c:pt>
                <c:pt idx="1">
                  <c:v>0</c:v>
                </c:pt>
                <c:pt idx="2">
                  <c:v>0</c:v>
                </c:pt>
                <c:pt idx="3">
                  <c:v>0</c:v>
                </c:pt>
                <c:pt idx="4">
                  <c:v>31453.619853005039</c:v>
                </c:pt>
                <c:pt idx="5">
                  <c:v>30676.170783589499</c:v>
                </c:pt>
                <c:pt idx="6">
                  <c:v>39183.59136042004</c:v>
                </c:pt>
                <c:pt idx="7">
                  <c:v>0</c:v>
                </c:pt>
                <c:pt idx="8">
                  <c:v>0</c:v>
                </c:pt>
                <c:pt idx="9">
                  <c:v>0</c:v>
                </c:pt>
              </c:numCache>
            </c:numRef>
          </c:val>
          <c:extLst>
            <c:ext xmlns:c16="http://schemas.microsoft.com/office/drawing/2014/chart" uri="{C3380CC4-5D6E-409C-BE32-E72D297353CC}">
              <c16:uniqueId val="{00000003-92E9-424F-84AF-5DDA15BCDB23}"/>
            </c:ext>
          </c:extLst>
        </c:ser>
        <c:ser>
          <c:idx val="2"/>
          <c:order val="4"/>
          <c:tx>
            <c:strRef>
              <c:f>'High Grade Short Life Case'!$A$280</c:f>
              <c:strCache>
                <c:ptCount val="1"/>
                <c:pt idx="0">
                  <c:v>Cashstream 4: Taxes - High Grading Case</c:v>
                </c:pt>
              </c:strCache>
            </c:strRef>
          </c:tx>
          <c:spPr>
            <a:solidFill>
              <a:srgbClr val="FF0000"/>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Case'!$D$280:$M$280</c:f>
              <c:numCache>
                <c:formatCode>#,##0</c:formatCode>
                <c:ptCount val="10"/>
                <c:pt idx="0">
                  <c:v>0</c:v>
                </c:pt>
                <c:pt idx="1">
                  <c:v>0</c:v>
                </c:pt>
                <c:pt idx="2">
                  <c:v>0</c:v>
                </c:pt>
                <c:pt idx="3">
                  <c:v>0</c:v>
                </c:pt>
                <c:pt idx="4">
                  <c:v>-12290.812499208667</c:v>
                </c:pt>
                <c:pt idx="5">
                  <c:v>-14295.6380759648</c:v>
                </c:pt>
                <c:pt idx="6">
                  <c:v>-5072.0484906331922</c:v>
                </c:pt>
                <c:pt idx="7">
                  <c:v>0</c:v>
                </c:pt>
                <c:pt idx="8">
                  <c:v>0</c:v>
                </c:pt>
                <c:pt idx="9">
                  <c:v>0</c:v>
                </c:pt>
              </c:numCache>
            </c:numRef>
          </c:val>
          <c:extLst>
            <c:ext xmlns:c16="http://schemas.microsoft.com/office/drawing/2014/chart" uri="{C3380CC4-5D6E-409C-BE32-E72D297353CC}">
              <c16:uniqueId val="{00000004-92E9-424F-84AF-5DDA15BCDB23}"/>
            </c:ext>
          </c:extLst>
        </c:ser>
        <c:dLbls>
          <c:showLegendKey val="0"/>
          <c:showVal val="0"/>
          <c:showCatName val="0"/>
          <c:showSerName val="0"/>
          <c:showPercent val="0"/>
          <c:showBubbleSize val="0"/>
        </c:dLbls>
        <c:gapWidth val="0"/>
        <c:overlap val="100"/>
        <c:axId val="323267880"/>
        <c:axId val="323263568"/>
      </c:barChart>
      <c:catAx>
        <c:axId val="323267880"/>
        <c:scaling>
          <c:orientation val="minMax"/>
        </c:scaling>
        <c:delete val="0"/>
        <c:axPos val="b"/>
        <c:numFmt formatCode="General" sourceLinked="1"/>
        <c:majorTickMark val="out"/>
        <c:minorTickMark val="none"/>
        <c:tickLblPos val="nextTo"/>
        <c:txPr>
          <a:bodyPr/>
          <a:lstStyle/>
          <a:p>
            <a:pPr>
              <a:defRPr sz="1000"/>
            </a:pPr>
            <a:endParaRPr lang="en-US"/>
          </a:p>
        </c:txPr>
        <c:crossAx val="323263568"/>
        <c:crosses val="autoZero"/>
        <c:auto val="1"/>
        <c:lblAlgn val="ctr"/>
        <c:lblOffset val="100"/>
        <c:noMultiLvlLbl val="0"/>
      </c:catAx>
      <c:valAx>
        <c:axId val="323263568"/>
        <c:scaling>
          <c:orientation val="minMax"/>
        </c:scaling>
        <c:delete val="0"/>
        <c:axPos val="l"/>
        <c:majorGridlines/>
        <c:title>
          <c:tx>
            <c:rich>
              <a:bodyPr rot="-5400000" vert="horz"/>
              <a:lstStyle/>
              <a:p>
                <a:pPr>
                  <a:defRPr sz="1200" b="1"/>
                </a:pPr>
                <a:r>
                  <a:rPr lang="en-US" sz="1200" b="1"/>
                  <a:t>US$M</a:t>
                </a:r>
              </a:p>
            </c:rich>
          </c:tx>
          <c:layout>
            <c:manualLayout>
              <c:xMode val="edge"/>
              <c:yMode val="edge"/>
              <c:x val="9.5604029652637396E-3"/>
              <c:y val="0.26838821871404006"/>
            </c:manualLayout>
          </c:layout>
          <c:overlay val="0"/>
        </c:title>
        <c:numFmt formatCode="#,##0" sourceLinked="0"/>
        <c:majorTickMark val="out"/>
        <c:minorTickMark val="none"/>
        <c:tickLblPos val="nextTo"/>
        <c:txPr>
          <a:bodyPr/>
          <a:lstStyle/>
          <a:p>
            <a:pPr>
              <a:defRPr sz="1100" b="0" baseline="0"/>
            </a:pPr>
            <a:endParaRPr lang="en-US"/>
          </a:p>
        </c:txPr>
        <c:crossAx val="323267880"/>
        <c:crosses val="autoZero"/>
        <c:crossBetween val="between"/>
        <c:dispUnits>
          <c:builtInUnit val="thousands"/>
        </c:dispUnits>
      </c:valAx>
    </c:plotArea>
    <c:legend>
      <c:legendPos val="b"/>
      <c:layout>
        <c:manualLayout>
          <c:xMode val="edge"/>
          <c:yMode val="edge"/>
          <c:x val="2.510927933445995E-3"/>
          <c:y val="0.72972641131722937"/>
          <c:w val="0.99042838483052786"/>
          <c:h val="0.25238963773596101"/>
        </c:manualLayout>
      </c:layout>
      <c:overlay val="0"/>
      <c:spPr>
        <a:solidFill>
          <a:schemeClr val="bg1"/>
        </a:solidFill>
      </c:spPr>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 </a:t>
            </a:r>
            <a:r>
              <a:rPr lang="en-US" sz="1400"/>
              <a:t>Mining</a:t>
            </a:r>
          </a:p>
        </c:rich>
      </c:tx>
      <c:overlay val="1"/>
    </c:title>
    <c:autoTitleDeleted val="0"/>
    <c:plotArea>
      <c:layout>
        <c:manualLayout>
          <c:layoutTarget val="inner"/>
          <c:xMode val="edge"/>
          <c:yMode val="edge"/>
          <c:x val="0.13267534698797254"/>
          <c:y val="0.16988953377835198"/>
          <c:w val="0.74363454286841046"/>
          <c:h val="0.49998766720425009"/>
        </c:manualLayout>
      </c:layout>
      <c:barChart>
        <c:barDir val="col"/>
        <c:grouping val="stacked"/>
        <c:varyColors val="0"/>
        <c:ser>
          <c:idx val="0"/>
          <c:order val="0"/>
          <c:tx>
            <c:strRef>
              <c:f>'High Grade Short Life Case'!$A$68</c:f>
              <c:strCache>
                <c:ptCount val="1"/>
                <c:pt idx="0">
                  <c:v>Ore production</c:v>
                </c:pt>
              </c:strCache>
            </c:strRef>
          </c:tx>
          <c:spPr>
            <a:solidFill>
              <a:schemeClr val="bg1">
                <a:lumMod val="50000"/>
              </a:schemeClr>
            </a:solidFill>
            <a:ln>
              <a:noFill/>
            </a:ln>
          </c:spPr>
          <c:invertIfNegative val="0"/>
          <c:cat>
            <c:numRef>
              <c:f>'High Grade Short Life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Case'!$D$68:$M$68</c:f>
              <c:numCache>
                <c:formatCode>#,##0</c:formatCode>
                <c:ptCount val="10"/>
                <c:pt idx="3">
                  <c:v>400</c:v>
                </c:pt>
                <c:pt idx="4">
                  <c:v>500</c:v>
                </c:pt>
                <c:pt idx="5">
                  <c:v>500</c:v>
                </c:pt>
                <c:pt idx="6">
                  <c:v>300</c:v>
                </c:pt>
              </c:numCache>
            </c:numRef>
          </c:val>
          <c:extLst>
            <c:ext xmlns:c16="http://schemas.microsoft.com/office/drawing/2014/chart" uri="{C3380CC4-5D6E-409C-BE32-E72D297353CC}">
              <c16:uniqueId val="{00000000-A3A2-496F-BF35-286E529AD223}"/>
            </c:ext>
          </c:extLst>
        </c:ser>
        <c:ser>
          <c:idx val="2"/>
          <c:order val="1"/>
          <c:tx>
            <c:strRef>
              <c:f>'High Grade Short Life Case'!$A$67</c:f>
              <c:strCache>
                <c:ptCount val="1"/>
                <c:pt idx="0">
                  <c:v>Waste removed</c:v>
                </c:pt>
              </c:strCache>
            </c:strRef>
          </c:tx>
          <c:spPr>
            <a:solidFill>
              <a:schemeClr val="bg1">
                <a:lumMod val="85000"/>
              </a:schemeClr>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Case'!$D$67:$M$67</c:f>
              <c:numCache>
                <c:formatCode>#,##0</c:formatCode>
                <c:ptCount val="10"/>
                <c:pt idx="2">
                  <c:v>800</c:v>
                </c:pt>
                <c:pt idx="3">
                  <c:v>600</c:v>
                </c:pt>
                <c:pt idx="4">
                  <c:v>600</c:v>
                </c:pt>
                <c:pt idx="5">
                  <c:v>600</c:v>
                </c:pt>
                <c:pt idx="6">
                  <c:v>300</c:v>
                </c:pt>
              </c:numCache>
            </c:numRef>
          </c:val>
          <c:extLst>
            <c:ext xmlns:c16="http://schemas.microsoft.com/office/drawing/2014/chart" uri="{C3380CC4-5D6E-409C-BE32-E72D297353CC}">
              <c16:uniqueId val="{00000001-A3A2-496F-BF35-286E529AD223}"/>
            </c:ext>
          </c:extLst>
        </c:ser>
        <c:dLbls>
          <c:showLegendKey val="0"/>
          <c:showVal val="0"/>
          <c:showCatName val="0"/>
          <c:showSerName val="0"/>
          <c:showPercent val="0"/>
          <c:showBubbleSize val="0"/>
        </c:dLbls>
        <c:gapWidth val="0"/>
        <c:overlap val="100"/>
        <c:axId val="323262784"/>
        <c:axId val="323267488"/>
      </c:barChart>
      <c:lineChart>
        <c:grouping val="standard"/>
        <c:varyColors val="0"/>
        <c:ser>
          <c:idx val="1"/>
          <c:order val="2"/>
          <c:tx>
            <c:strRef>
              <c:f>'High Grade Short Life Case'!$A$69</c:f>
              <c:strCache>
                <c:ptCount val="1"/>
                <c:pt idx="0">
                  <c:v>Head grade - gold</c:v>
                </c:pt>
              </c:strCache>
            </c:strRef>
          </c:tx>
          <c:spPr>
            <a:ln w="41275">
              <a:solidFill>
                <a:srgbClr val="FFC000"/>
              </a:solidFill>
            </a:ln>
          </c:spPr>
          <c:marker>
            <c:symbol val="none"/>
          </c:marker>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Case'!$D$69:$M$69</c:f>
              <c:numCache>
                <c:formatCode>0.0</c:formatCode>
                <c:ptCount val="10"/>
                <c:pt idx="3">
                  <c:v>3.1</c:v>
                </c:pt>
                <c:pt idx="4">
                  <c:v>3.3</c:v>
                </c:pt>
                <c:pt idx="5">
                  <c:v>3.2</c:v>
                </c:pt>
                <c:pt idx="6">
                  <c:v>3.7</c:v>
                </c:pt>
              </c:numCache>
            </c:numRef>
          </c:val>
          <c:smooth val="0"/>
          <c:extLst>
            <c:ext xmlns:c16="http://schemas.microsoft.com/office/drawing/2014/chart" uri="{C3380CC4-5D6E-409C-BE32-E72D297353CC}">
              <c16:uniqueId val="{00000002-A3A2-496F-BF35-286E529AD223}"/>
            </c:ext>
          </c:extLst>
        </c:ser>
        <c:dLbls>
          <c:showLegendKey val="0"/>
          <c:showVal val="0"/>
          <c:showCatName val="0"/>
          <c:showSerName val="0"/>
          <c:showPercent val="0"/>
          <c:showBubbleSize val="0"/>
        </c:dLbls>
        <c:marker val="1"/>
        <c:smooth val="0"/>
        <c:axId val="323270232"/>
        <c:axId val="323267096"/>
      </c:lineChart>
      <c:catAx>
        <c:axId val="323262784"/>
        <c:scaling>
          <c:orientation val="minMax"/>
        </c:scaling>
        <c:delete val="0"/>
        <c:axPos val="b"/>
        <c:numFmt formatCode="General" sourceLinked="1"/>
        <c:majorTickMark val="out"/>
        <c:minorTickMark val="none"/>
        <c:tickLblPos val="nextTo"/>
        <c:txPr>
          <a:bodyPr/>
          <a:lstStyle/>
          <a:p>
            <a:pPr>
              <a:defRPr sz="1000" b="0"/>
            </a:pPr>
            <a:endParaRPr lang="en-US"/>
          </a:p>
        </c:txPr>
        <c:crossAx val="323267488"/>
        <c:crosses val="autoZero"/>
        <c:auto val="1"/>
        <c:lblAlgn val="ctr"/>
        <c:lblOffset val="100"/>
        <c:noMultiLvlLbl val="0"/>
      </c:catAx>
      <c:valAx>
        <c:axId val="323267488"/>
        <c:scaling>
          <c:orientation val="minMax"/>
        </c:scaling>
        <c:delete val="0"/>
        <c:axPos val="l"/>
        <c:majorGridlines/>
        <c:title>
          <c:tx>
            <c:rich>
              <a:bodyPr rot="-5400000" vert="horz"/>
              <a:lstStyle/>
              <a:p>
                <a:pPr>
                  <a:defRPr sz="1200" b="1"/>
                </a:pPr>
                <a:r>
                  <a:rPr lang="en-US" sz="1200" b="1"/>
                  <a:t>000 tonnes</a:t>
                </a:r>
              </a:p>
            </c:rich>
          </c:tx>
          <c:layout>
            <c:manualLayout>
              <c:xMode val="edge"/>
              <c:yMode val="edge"/>
              <c:x val="8.5298213462962104E-3"/>
              <c:y val="0.20977184327862633"/>
            </c:manualLayout>
          </c:layout>
          <c:overlay val="0"/>
        </c:title>
        <c:numFmt formatCode="#,##0" sourceLinked="1"/>
        <c:majorTickMark val="out"/>
        <c:minorTickMark val="none"/>
        <c:tickLblPos val="nextTo"/>
        <c:txPr>
          <a:bodyPr/>
          <a:lstStyle/>
          <a:p>
            <a:pPr>
              <a:defRPr sz="1100" b="0"/>
            </a:pPr>
            <a:endParaRPr lang="en-US"/>
          </a:p>
        </c:txPr>
        <c:crossAx val="323262784"/>
        <c:crosses val="autoZero"/>
        <c:crossBetween val="between"/>
      </c:valAx>
      <c:catAx>
        <c:axId val="323270232"/>
        <c:scaling>
          <c:orientation val="minMax"/>
        </c:scaling>
        <c:delete val="1"/>
        <c:axPos val="b"/>
        <c:numFmt formatCode="General" sourceLinked="1"/>
        <c:majorTickMark val="out"/>
        <c:minorTickMark val="none"/>
        <c:tickLblPos val="nextTo"/>
        <c:crossAx val="323267096"/>
        <c:crosses val="autoZero"/>
        <c:auto val="1"/>
        <c:lblAlgn val="ctr"/>
        <c:lblOffset val="100"/>
        <c:noMultiLvlLbl val="0"/>
      </c:catAx>
      <c:valAx>
        <c:axId val="323267096"/>
        <c:scaling>
          <c:orientation val="minMax"/>
        </c:scaling>
        <c:delete val="0"/>
        <c:axPos val="r"/>
        <c:title>
          <c:tx>
            <c:rich>
              <a:bodyPr rot="-5400000" vert="horz"/>
              <a:lstStyle/>
              <a:p>
                <a:pPr>
                  <a:defRPr sz="1200">
                    <a:solidFill>
                      <a:srgbClr val="F6BB00"/>
                    </a:solidFill>
                  </a:defRPr>
                </a:pPr>
                <a:r>
                  <a:rPr lang="en-US" sz="1200">
                    <a:solidFill>
                      <a:srgbClr val="F6BB00"/>
                    </a:solidFill>
                  </a:rPr>
                  <a:t>Au Grams/Tonne</a:t>
                </a:r>
              </a:p>
            </c:rich>
          </c:tx>
          <c:layout>
            <c:manualLayout>
              <c:xMode val="edge"/>
              <c:yMode val="edge"/>
              <c:x val="0.94002598787577585"/>
              <c:y val="0.12796603737785789"/>
            </c:manualLayout>
          </c:layout>
          <c:overlay val="0"/>
        </c:title>
        <c:numFmt formatCode="#,##0.0" sourceLinked="0"/>
        <c:majorTickMark val="out"/>
        <c:minorTickMark val="none"/>
        <c:tickLblPos val="nextTo"/>
        <c:txPr>
          <a:bodyPr/>
          <a:lstStyle/>
          <a:p>
            <a:pPr>
              <a:defRPr sz="1100" baseline="0">
                <a:solidFill>
                  <a:schemeClr val="accent6"/>
                </a:solidFill>
              </a:defRPr>
            </a:pPr>
            <a:endParaRPr lang="en-US"/>
          </a:p>
        </c:txPr>
        <c:crossAx val="323270232"/>
        <c:crosses val="max"/>
        <c:crossBetween val="between"/>
      </c:valAx>
    </c:plotArea>
    <c:legend>
      <c:legendPos val="b"/>
      <c:layout>
        <c:manualLayout>
          <c:xMode val="edge"/>
          <c:yMode val="edge"/>
          <c:x val="0.11905408341697103"/>
          <c:y val="0.77889221523062846"/>
          <c:w val="0.63174583569210707"/>
          <c:h val="0.2118900762404699"/>
        </c:manualLayout>
      </c:layout>
      <c:overlay val="0"/>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 </a:t>
            </a:r>
            <a:r>
              <a:rPr lang="en-US" sz="1400"/>
              <a:t>Sales, Price, Opex per ounce </a:t>
            </a:r>
          </a:p>
        </c:rich>
      </c:tx>
      <c:layout>
        <c:manualLayout>
          <c:xMode val="edge"/>
          <c:yMode val="edge"/>
          <c:x val="0.12513488391969999"/>
          <c:y val="3.9517064778851474E-2"/>
        </c:manualLayout>
      </c:layout>
      <c:overlay val="0"/>
    </c:title>
    <c:autoTitleDeleted val="0"/>
    <c:plotArea>
      <c:layout>
        <c:manualLayout>
          <c:layoutTarget val="inner"/>
          <c:xMode val="edge"/>
          <c:yMode val="edge"/>
          <c:x val="0.14649422854401264"/>
          <c:y val="0.16050388340795591"/>
          <c:w val="0.66308613696015284"/>
          <c:h val="0.52756666119259787"/>
        </c:manualLayout>
      </c:layout>
      <c:barChart>
        <c:barDir val="col"/>
        <c:grouping val="stacked"/>
        <c:varyColors val="0"/>
        <c:ser>
          <c:idx val="0"/>
          <c:order val="0"/>
          <c:tx>
            <c:strRef>
              <c:f>'High Grade Short Life Case'!$A$77</c:f>
              <c:strCache>
                <c:ptCount val="1"/>
                <c:pt idx="0">
                  <c:v>Gold sold</c:v>
                </c:pt>
              </c:strCache>
            </c:strRef>
          </c:tx>
          <c:spPr>
            <a:solidFill>
              <a:srgbClr val="FFF2BD"/>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Case'!$D$77:$M$77</c:f>
              <c:numCache>
                <c:formatCode>#,##0</c:formatCode>
                <c:ptCount val="10"/>
                <c:pt idx="0" formatCode="General">
                  <c:v>0</c:v>
                </c:pt>
                <c:pt idx="1">
                  <c:v>0</c:v>
                </c:pt>
                <c:pt idx="2">
                  <c:v>0</c:v>
                </c:pt>
                <c:pt idx="3">
                  <c:v>29.911204551075937</c:v>
                </c:pt>
                <c:pt idx="4">
                  <c:v>47.29903536977492</c:v>
                </c:pt>
                <c:pt idx="5">
                  <c:v>47.473410833539447</c:v>
                </c:pt>
                <c:pt idx="6">
                  <c:v>37.387088795448925</c:v>
                </c:pt>
                <c:pt idx="7">
                  <c:v>0</c:v>
                </c:pt>
                <c:pt idx="8">
                  <c:v>0</c:v>
                </c:pt>
                <c:pt idx="9">
                  <c:v>0</c:v>
                </c:pt>
              </c:numCache>
            </c:numRef>
          </c:val>
          <c:extLst>
            <c:ext xmlns:c16="http://schemas.microsoft.com/office/drawing/2014/chart" uri="{C3380CC4-5D6E-409C-BE32-E72D297353CC}">
              <c16:uniqueId val="{00000000-6553-4AC6-B33F-745916B02F2F}"/>
            </c:ext>
          </c:extLst>
        </c:ser>
        <c:dLbls>
          <c:showLegendKey val="0"/>
          <c:showVal val="0"/>
          <c:showCatName val="0"/>
          <c:showSerName val="0"/>
          <c:showPercent val="0"/>
          <c:showBubbleSize val="0"/>
        </c:dLbls>
        <c:gapWidth val="0"/>
        <c:overlap val="100"/>
        <c:axId val="323268664"/>
        <c:axId val="323263960"/>
      </c:barChart>
      <c:lineChart>
        <c:grouping val="standard"/>
        <c:varyColors val="0"/>
        <c:ser>
          <c:idx val="1"/>
          <c:order val="1"/>
          <c:tx>
            <c:strRef>
              <c:f>'High Grade Short Life Case'!$A$80</c:f>
              <c:strCache>
                <c:ptCount val="1"/>
                <c:pt idx="0">
                  <c:v>Gold price forecast</c:v>
                </c:pt>
              </c:strCache>
            </c:strRef>
          </c:tx>
          <c:spPr>
            <a:ln w="28575">
              <a:solidFill>
                <a:srgbClr val="FFC000"/>
              </a:solidFill>
            </a:ln>
          </c:spPr>
          <c:marker>
            <c:symbol val="none"/>
          </c:marker>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Case'!$D$80:$M$80</c:f>
              <c:numCache>
                <c:formatCode>#,##0</c:formatCode>
                <c:ptCount val="10"/>
                <c:pt idx="0">
                  <c:v>2000</c:v>
                </c:pt>
                <c:pt idx="1">
                  <c:v>2000</c:v>
                </c:pt>
                <c:pt idx="2">
                  <c:v>2000</c:v>
                </c:pt>
                <c:pt idx="3">
                  <c:v>2000</c:v>
                </c:pt>
                <c:pt idx="4">
                  <c:v>2000</c:v>
                </c:pt>
                <c:pt idx="5">
                  <c:v>2000</c:v>
                </c:pt>
                <c:pt idx="6">
                  <c:v>2000</c:v>
                </c:pt>
                <c:pt idx="7">
                  <c:v>2000</c:v>
                </c:pt>
                <c:pt idx="8">
                  <c:v>2000</c:v>
                </c:pt>
                <c:pt idx="9">
                  <c:v>2000</c:v>
                </c:pt>
              </c:numCache>
            </c:numRef>
          </c:val>
          <c:smooth val="0"/>
          <c:extLst>
            <c:ext xmlns:c16="http://schemas.microsoft.com/office/drawing/2014/chart" uri="{C3380CC4-5D6E-409C-BE32-E72D297353CC}">
              <c16:uniqueId val="{00000001-6553-4AC6-B33F-745916B02F2F}"/>
            </c:ext>
          </c:extLst>
        </c:ser>
        <c:ser>
          <c:idx val="3"/>
          <c:order val="2"/>
          <c:tx>
            <c:strRef>
              <c:f>'High Grade Short Life Case'!$A$211</c:f>
              <c:strCache>
                <c:ptCount val="1"/>
                <c:pt idx="0">
                  <c:v>opex including gov't royalty</c:v>
                </c:pt>
              </c:strCache>
            </c:strRef>
          </c:tx>
          <c:spPr>
            <a:ln w="73025">
              <a:solidFill>
                <a:schemeClr val="accent6">
                  <a:lumMod val="60000"/>
                  <a:lumOff val="40000"/>
                </a:schemeClr>
              </a:solidFill>
              <a:prstDash val="sysDot"/>
            </a:ln>
          </c:spPr>
          <c:marker>
            <c:symbol val="none"/>
          </c:marker>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Case'!$D$211:$M$211</c:f>
              <c:numCache>
                <c:formatCode>#,##0</c:formatCode>
                <c:ptCount val="10"/>
                <c:pt idx="0">
                  <c:v>0</c:v>
                </c:pt>
                <c:pt idx="1">
                  <c:v>0</c:v>
                </c:pt>
                <c:pt idx="2">
                  <c:v>0</c:v>
                </c:pt>
                <c:pt idx="3">
                  <c:v>1154.8905392466222</c:v>
                </c:pt>
                <c:pt idx="4">
                  <c:v>920.8623695145435</c:v>
                </c:pt>
                <c:pt idx="5">
                  <c:v>961.18211568527522</c:v>
                </c:pt>
                <c:pt idx="6">
                  <c:v>1065.8945415154467</c:v>
                </c:pt>
                <c:pt idx="7">
                  <c:v>0</c:v>
                </c:pt>
                <c:pt idx="8">
                  <c:v>0</c:v>
                </c:pt>
                <c:pt idx="9">
                  <c:v>0</c:v>
                </c:pt>
              </c:numCache>
            </c:numRef>
          </c:val>
          <c:smooth val="0"/>
          <c:extLst>
            <c:ext xmlns:c16="http://schemas.microsoft.com/office/drawing/2014/chart" uri="{C3380CC4-5D6E-409C-BE32-E72D297353CC}">
              <c16:uniqueId val="{00000002-6553-4AC6-B33F-745916B02F2F}"/>
            </c:ext>
          </c:extLst>
        </c:ser>
        <c:dLbls>
          <c:showLegendKey val="0"/>
          <c:showVal val="0"/>
          <c:showCatName val="0"/>
          <c:showSerName val="0"/>
          <c:showPercent val="0"/>
          <c:showBubbleSize val="0"/>
        </c:dLbls>
        <c:marker val="1"/>
        <c:smooth val="0"/>
        <c:axId val="323266312"/>
        <c:axId val="323269056"/>
      </c:lineChart>
      <c:catAx>
        <c:axId val="323268664"/>
        <c:scaling>
          <c:orientation val="minMax"/>
        </c:scaling>
        <c:delete val="0"/>
        <c:axPos val="b"/>
        <c:numFmt formatCode="General" sourceLinked="1"/>
        <c:majorTickMark val="out"/>
        <c:minorTickMark val="none"/>
        <c:tickLblPos val="nextTo"/>
        <c:txPr>
          <a:bodyPr/>
          <a:lstStyle/>
          <a:p>
            <a:pPr>
              <a:defRPr sz="1000"/>
            </a:pPr>
            <a:endParaRPr lang="en-US"/>
          </a:p>
        </c:txPr>
        <c:crossAx val="323263960"/>
        <c:crosses val="autoZero"/>
        <c:auto val="1"/>
        <c:lblAlgn val="ctr"/>
        <c:lblOffset val="100"/>
        <c:noMultiLvlLbl val="0"/>
      </c:catAx>
      <c:valAx>
        <c:axId val="323263960"/>
        <c:scaling>
          <c:orientation val="minMax"/>
        </c:scaling>
        <c:delete val="0"/>
        <c:axPos val="l"/>
        <c:majorGridlines/>
        <c:title>
          <c:tx>
            <c:rich>
              <a:bodyPr rot="-5400000" vert="horz"/>
              <a:lstStyle/>
              <a:p>
                <a:pPr>
                  <a:defRPr sz="1200">
                    <a:solidFill>
                      <a:srgbClr val="FFCC00"/>
                    </a:solidFill>
                  </a:defRPr>
                </a:pPr>
                <a:r>
                  <a:rPr lang="en-US" sz="1200">
                    <a:solidFill>
                      <a:srgbClr val="FFCC00"/>
                    </a:solidFill>
                  </a:rPr>
                  <a:t>Gold Ounces (000's)</a:t>
                </a:r>
              </a:p>
            </c:rich>
          </c:tx>
          <c:layout>
            <c:manualLayout>
              <c:xMode val="edge"/>
              <c:yMode val="edge"/>
              <c:x val="1.7886443264359397E-2"/>
              <c:y val="0.19355093694683514"/>
            </c:manualLayout>
          </c:layout>
          <c:overlay val="0"/>
        </c:title>
        <c:numFmt formatCode="General" sourceLinked="1"/>
        <c:majorTickMark val="out"/>
        <c:minorTickMark val="none"/>
        <c:tickLblPos val="nextTo"/>
        <c:txPr>
          <a:bodyPr/>
          <a:lstStyle/>
          <a:p>
            <a:pPr>
              <a:defRPr sz="1100" b="0" baseline="0">
                <a:solidFill>
                  <a:srgbClr val="FFCC00"/>
                </a:solidFill>
              </a:defRPr>
            </a:pPr>
            <a:endParaRPr lang="en-US"/>
          </a:p>
        </c:txPr>
        <c:crossAx val="323268664"/>
        <c:crosses val="autoZero"/>
        <c:crossBetween val="between"/>
      </c:valAx>
      <c:catAx>
        <c:axId val="323266312"/>
        <c:scaling>
          <c:orientation val="minMax"/>
        </c:scaling>
        <c:delete val="1"/>
        <c:axPos val="b"/>
        <c:numFmt formatCode="General" sourceLinked="1"/>
        <c:majorTickMark val="out"/>
        <c:minorTickMark val="none"/>
        <c:tickLblPos val="nextTo"/>
        <c:crossAx val="323269056"/>
        <c:crosses val="autoZero"/>
        <c:auto val="1"/>
        <c:lblAlgn val="ctr"/>
        <c:lblOffset val="100"/>
        <c:noMultiLvlLbl val="0"/>
      </c:catAx>
      <c:valAx>
        <c:axId val="323269056"/>
        <c:scaling>
          <c:orientation val="minMax"/>
        </c:scaling>
        <c:delete val="0"/>
        <c:axPos val="r"/>
        <c:title>
          <c:tx>
            <c:rich>
              <a:bodyPr rot="-5400000" vert="horz"/>
              <a:lstStyle/>
              <a:p>
                <a:pPr>
                  <a:defRPr sz="1200">
                    <a:solidFill>
                      <a:schemeClr val="accent6"/>
                    </a:solidFill>
                  </a:defRPr>
                </a:pPr>
                <a:r>
                  <a:rPr lang="en-AU" sz="1200">
                    <a:solidFill>
                      <a:schemeClr val="accent6"/>
                    </a:solidFill>
                  </a:rPr>
                  <a:t>US$/ounce</a:t>
                </a:r>
              </a:p>
            </c:rich>
          </c:tx>
          <c:layout>
            <c:manualLayout>
              <c:xMode val="edge"/>
              <c:yMode val="edge"/>
              <c:x val="0.9113135289906944"/>
              <c:y val="0.24784981460193437"/>
            </c:manualLayout>
          </c:layout>
          <c:overlay val="0"/>
        </c:title>
        <c:numFmt formatCode="#,##0" sourceLinked="1"/>
        <c:majorTickMark val="out"/>
        <c:minorTickMark val="none"/>
        <c:tickLblPos val="nextTo"/>
        <c:txPr>
          <a:bodyPr/>
          <a:lstStyle/>
          <a:p>
            <a:pPr>
              <a:defRPr sz="1100" b="0" baseline="0">
                <a:solidFill>
                  <a:schemeClr val="accent6"/>
                </a:solidFill>
              </a:defRPr>
            </a:pPr>
            <a:endParaRPr lang="en-US"/>
          </a:p>
        </c:txPr>
        <c:crossAx val="323266312"/>
        <c:crosses val="max"/>
        <c:crossBetween val="between"/>
      </c:valAx>
    </c:plotArea>
    <c:legend>
      <c:legendPos val="b"/>
      <c:layout>
        <c:manualLayout>
          <c:xMode val="edge"/>
          <c:yMode val="edge"/>
          <c:x val="1.8133381054640896E-2"/>
          <c:y val="0.83168967216090306"/>
          <c:w val="0.93885087091386299"/>
          <c:h val="0.14152484506944862"/>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 </a:t>
            </a:r>
            <a:r>
              <a:rPr lang="en-US" sz="1400"/>
              <a:t>Mining</a:t>
            </a:r>
          </a:p>
        </c:rich>
      </c:tx>
      <c:overlay val="1"/>
    </c:title>
    <c:autoTitleDeleted val="0"/>
    <c:plotArea>
      <c:layout>
        <c:manualLayout>
          <c:layoutTarget val="inner"/>
          <c:xMode val="edge"/>
          <c:yMode val="edge"/>
          <c:x val="0.13267534698797254"/>
          <c:y val="0.16988953377835198"/>
          <c:w val="0.74363454286841046"/>
          <c:h val="0.49998766720425009"/>
        </c:manualLayout>
      </c:layout>
      <c:barChart>
        <c:barDir val="col"/>
        <c:grouping val="stacked"/>
        <c:varyColors val="0"/>
        <c:ser>
          <c:idx val="0"/>
          <c:order val="0"/>
          <c:tx>
            <c:strRef>
              <c:f>'Base Case'!$A$68</c:f>
              <c:strCache>
                <c:ptCount val="1"/>
                <c:pt idx="0">
                  <c:v>Ore production</c:v>
                </c:pt>
              </c:strCache>
            </c:strRef>
          </c:tx>
          <c:spPr>
            <a:solidFill>
              <a:schemeClr val="bg1">
                <a:lumMod val="50000"/>
              </a:schemeClr>
            </a:solidFill>
            <a:ln>
              <a:noFill/>
            </a:ln>
          </c:spPr>
          <c:invertIfNegative val="0"/>
          <c:cat>
            <c:numRef>
              <c:f>'Base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Case'!$D$68:$M$68</c:f>
              <c:numCache>
                <c:formatCode>#,##0</c:formatCode>
                <c:ptCount val="10"/>
                <c:pt idx="3">
                  <c:v>400</c:v>
                </c:pt>
                <c:pt idx="4">
                  <c:v>600</c:v>
                </c:pt>
                <c:pt idx="5">
                  <c:v>600</c:v>
                </c:pt>
                <c:pt idx="6">
                  <c:v>600</c:v>
                </c:pt>
                <c:pt idx="7">
                  <c:v>600</c:v>
                </c:pt>
                <c:pt idx="8">
                  <c:v>300</c:v>
                </c:pt>
              </c:numCache>
            </c:numRef>
          </c:val>
          <c:extLst>
            <c:ext xmlns:c16="http://schemas.microsoft.com/office/drawing/2014/chart" uri="{C3380CC4-5D6E-409C-BE32-E72D297353CC}">
              <c16:uniqueId val="{00000000-80C1-4794-BBAC-C9C109188D2C}"/>
            </c:ext>
          </c:extLst>
        </c:ser>
        <c:ser>
          <c:idx val="2"/>
          <c:order val="1"/>
          <c:tx>
            <c:strRef>
              <c:f>'Base Case'!$A$67</c:f>
              <c:strCache>
                <c:ptCount val="1"/>
                <c:pt idx="0">
                  <c:v>Waste removed</c:v>
                </c:pt>
              </c:strCache>
            </c:strRef>
          </c:tx>
          <c:spPr>
            <a:solidFill>
              <a:schemeClr val="bg1">
                <a:lumMod val="85000"/>
              </a:schemeClr>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Case'!$D$67:$M$67</c:f>
              <c:numCache>
                <c:formatCode>#,##0</c:formatCode>
                <c:ptCount val="10"/>
                <c:pt idx="2">
                  <c:v>950</c:v>
                </c:pt>
                <c:pt idx="3">
                  <c:v>700</c:v>
                </c:pt>
                <c:pt idx="4">
                  <c:v>700</c:v>
                </c:pt>
                <c:pt idx="5">
                  <c:v>700</c:v>
                </c:pt>
                <c:pt idx="6">
                  <c:v>300</c:v>
                </c:pt>
                <c:pt idx="7">
                  <c:v>230</c:v>
                </c:pt>
              </c:numCache>
            </c:numRef>
          </c:val>
          <c:extLst>
            <c:ext xmlns:c16="http://schemas.microsoft.com/office/drawing/2014/chart" uri="{C3380CC4-5D6E-409C-BE32-E72D297353CC}">
              <c16:uniqueId val="{00000001-80C1-4794-BBAC-C9C109188D2C}"/>
            </c:ext>
          </c:extLst>
        </c:ser>
        <c:dLbls>
          <c:showLegendKey val="0"/>
          <c:showVal val="0"/>
          <c:showCatName val="0"/>
          <c:showSerName val="0"/>
          <c:showPercent val="0"/>
          <c:showBubbleSize val="0"/>
        </c:dLbls>
        <c:gapWidth val="0"/>
        <c:overlap val="100"/>
        <c:axId val="323262784"/>
        <c:axId val="323267488"/>
      </c:barChart>
      <c:lineChart>
        <c:grouping val="standard"/>
        <c:varyColors val="0"/>
        <c:ser>
          <c:idx val="1"/>
          <c:order val="2"/>
          <c:tx>
            <c:strRef>
              <c:f>'Base Case'!$A$69</c:f>
              <c:strCache>
                <c:ptCount val="1"/>
                <c:pt idx="0">
                  <c:v>Head grade - gold</c:v>
                </c:pt>
              </c:strCache>
            </c:strRef>
          </c:tx>
          <c:spPr>
            <a:ln w="41275">
              <a:solidFill>
                <a:srgbClr val="FFC000"/>
              </a:solidFill>
            </a:ln>
          </c:spPr>
          <c:marker>
            <c:symbol val="none"/>
          </c:marker>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Case'!$D$69:$M$69</c:f>
              <c:numCache>
                <c:formatCode>0.0</c:formatCode>
                <c:ptCount val="10"/>
                <c:pt idx="3">
                  <c:v>2.4</c:v>
                </c:pt>
                <c:pt idx="4">
                  <c:v>2.8</c:v>
                </c:pt>
                <c:pt idx="5">
                  <c:v>2.9</c:v>
                </c:pt>
                <c:pt idx="6">
                  <c:v>2.6</c:v>
                </c:pt>
                <c:pt idx="7">
                  <c:v>2.6</c:v>
                </c:pt>
                <c:pt idx="8">
                  <c:v>2.1</c:v>
                </c:pt>
              </c:numCache>
            </c:numRef>
          </c:val>
          <c:smooth val="0"/>
          <c:extLst>
            <c:ext xmlns:c16="http://schemas.microsoft.com/office/drawing/2014/chart" uri="{C3380CC4-5D6E-409C-BE32-E72D297353CC}">
              <c16:uniqueId val="{00000002-80C1-4794-BBAC-C9C109188D2C}"/>
            </c:ext>
          </c:extLst>
        </c:ser>
        <c:dLbls>
          <c:showLegendKey val="0"/>
          <c:showVal val="0"/>
          <c:showCatName val="0"/>
          <c:showSerName val="0"/>
          <c:showPercent val="0"/>
          <c:showBubbleSize val="0"/>
        </c:dLbls>
        <c:marker val="1"/>
        <c:smooth val="0"/>
        <c:axId val="323270232"/>
        <c:axId val="323267096"/>
      </c:lineChart>
      <c:catAx>
        <c:axId val="323262784"/>
        <c:scaling>
          <c:orientation val="minMax"/>
        </c:scaling>
        <c:delete val="0"/>
        <c:axPos val="b"/>
        <c:numFmt formatCode="General" sourceLinked="1"/>
        <c:majorTickMark val="out"/>
        <c:minorTickMark val="none"/>
        <c:tickLblPos val="nextTo"/>
        <c:txPr>
          <a:bodyPr/>
          <a:lstStyle/>
          <a:p>
            <a:pPr>
              <a:defRPr sz="1000" b="0"/>
            </a:pPr>
            <a:endParaRPr lang="en-US"/>
          </a:p>
        </c:txPr>
        <c:crossAx val="323267488"/>
        <c:crosses val="autoZero"/>
        <c:auto val="1"/>
        <c:lblAlgn val="ctr"/>
        <c:lblOffset val="100"/>
        <c:noMultiLvlLbl val="0"/>
      </c:catAx>
      <c:valAx>
        <c:axId val="323267488"/>
        <c:scaling>
          <c:orientation val="minMax"/>
        </c:scaling>
        <c:delete val="0"/>
        <c:axPos val="l"/>
        <c:majorGridlines/>
        <c:title>
          <c:tx>
            <c:rich>
              <a:bodyPr rot="-5400000" vert="horz"/>
              <a:lstStyle/>
              <a:p>
                <a:pPr>
                  <a:defRPr sz="1200" b="1"/>
                </a:pPr>
                <a:r>
                  <a:rPr lang="en-US" sz="1200" b="1"/>
                  <a:t>000 tonnes</a:t>
                </a:r>
              </a:p>
            </c:rich>
          </c:tx>
          <c:layout>
            <c:manualLayout>
              <c:xMode val="edge"/>
              <c:yMode val="edge"/>
              <c:x val="8.5298213462962104E-3"/>
              <c:y val="0.20977184327862633"/>
            </c:manualLayout>
          </c:layout>
          <c:overlay val="0"/>
        </c:title>
        <c:numFmt formatCode="#,##0" sourceLinked="1"/>
        <c:majorTickMark val="out"/>
        <c:minorTickMark val="none"/>
        <c:tickLblPos val="nextTo"/>
        <c:txPr>
          <a:bodyPr/>
          <a:lstStyle/>
          <a:p>
            <a:pPr>
              <a:defRPr sz="1100" b="0"/>
            </a:pPr>
            <a:endParaRPr lang="en-US"/>
          </a:p>
        </c:txPr>
        <c:crossAx val="323262784"/>
        <c:crosses val="autoZero"/>
        <c:crossBetween val="between"/>
      </c:valAx>
      <c:catAx>
        <c:axId val="323270232"/>
        <c:scaling>
          <c:orientation val="minMax"/>
        </c:scaling>
        <c:delete val="1"/>
        <c:axPos val="b"/>
        <c:numFmt formatCode="General" sourceLinked="1"/>
        <c:majorTickMark val="out"/>
        <c:minorTickMark val="none"/>
        <c:tickLblPos val="nextTo"/>
        <c:crossAx val="323267096"/>
        <c:crosses val="autoZero"/>
        <c:auto val="1"/>
        <c:lblAlgn val="ctr"/>
        <c:lblOffset val="100"/>
        <c:noMultiLvlLbl val="0"/>
      </c:catAx>
      <c:valAx>
        <c:axId val="323267096"/>
        <c:scaling>
          <c:orientation val="minMax"/>
        </c:scaling>
        <c:delete val="0"/>
        <c:axPos val="r"/>
        <c:title>
          <c:tx>
            <c:rich>
              <a:bodyPr rot="-5400000" vert="horz"/>
              <a:lstStyle/>
              <a:p>
                <a:pPr>
                  <a:defRPr sz="1200">
                    <a:solidFill>
                      <a:srgbClr val="F6BB00"/>
                    </a:solidFill>
                  </a:defRPr>
                </a:pPr>
                <a:r>
                  <a:rPr lang="en-US" sz="1200">
                    <a:solidFill>
                      <a:srgbClr val="F6BB00"/>
                    </a:solidFill>
                  </a:rPr>
                  <a:t>Au Grams/Tonne</a:t>
                </a:r>
              </a:p>
            </c:rich>
          </c:tx>
          <c:layout>
            <c:manualLayout>
              <c:xMode val="edge"/>
              <c:yMode val="edge"/>
              <c:x val="0.94002598787577585"/>
              <c:y val="0.12796603737785789"/>
            </c:manualLayout>
          </c:layout>
          <c:overlay val="0"/>
        </c:title>
        <c:numFmt formatCode="#,##0.0" sourceLinked="0"/>
        <c:majorTickMark val="out"/>
        <c:minorTickMark val="none"/>
        <c:tickLblPos val="nextTo"/>
        <c:txPr>
          <a:bodyPr/>
          <a:lstStyle/>
          <a:p>
            <a:pPr>
              <a:defRPr sz="1100" baseline="0">
                <a:solidFill>
                  <a:schemeClr val="accent6"/>
                </a:solidFill>
              </a:defRPr>
            </a:pPr>
            <a:endParaRPr lang="en-US"/>
          </a:p>
        </c:txPr>
        <c:crossAx val="323270232"/>
        <c:crosses val="max"/>
        <c:crossBetween val="between"/>
      </c:valAx>
    </c:plotArea>
    <c:legend>
      <c:legendPos val="b"/>
      <c:layout>
        <c:manualLayout>
          <c:xMode val="edge"/>
          <c:yMode val="edge"/>
          <c:x val="0.11905408341697103"/>
          <c:y val="0.77889221523062846"/>
          <c:w val="0.63174583569210707"/>
          <c:h val="0.2118900762404699"/>
        </c:manualLayout>
      </c:layout>
      <c:overlay val="0"/>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a:t>
            </a:r>
            <a:r>
              <a:rPr lang="en-US" sz="1400"/>
              <a:t>- NPV </a:t>
            </a:r>
          </a:p>
        </c:rich>
      </c:tx>
      <c:layout>
        <c:manualLayout>
          <c:xMode val="edge"/>
          <c:yMode val="edge"/>
          <c:x val="0.36530698669702488"/>
          <c:y val="3.5461009410197787E-2"/>
        </c:manualLayout>
      </c:layout>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'High Grade Short Life Case'!$A$263</c:f>
              <c:strCache>
                <c:ptCount val="1"/>
                <c:pt idx="0">
                  <c:v>Discounted Cashflow - High Grading Case</c:v>
                </c:pt>
              </c:strCache>
            </c:strRef>
          </c:tx>
          <c:spPr>
            <a:solidFill>
              <a:schemeClr val="accent6">
                <a:lumMod val="40000"/>
                <a:lumOff val="60000"/>
              </a:schemeClr>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Case'!$D$263:$M$263</c:f>
              <c:numCache>
                <c:formatCode>#,##0_);[Red]\(#,##0\)</c:formatCode>
                <c:ptCount val="10"/>
                <c:pt idx="0">
                  <c:v>-4330.1270189221923</c:v>
                </c:pt>
                <c:pt idx="1">
                  <c:v>-25838.206491511024</c:v>
                </c:pt>
                <c:pt idx="2">
                  <c:v>-22983.794152410504</c:v>
                </c:pt>
                <c:pt idx="3">
                  <c:v>8315.7600573364325</c:v>
                </c:pt>
                <c:pt idx="4">
                  <c:v>22246.604496666416</c:v>
                </c:pt>
                <c:pt idx="5">
                  <c:v>20089.563090389227</c:v>
                </c:pt>
                <c:pt idx="6">
                  <c:v>23760.185555405544</c:v>
                </c:pt>
                <c:pt idx="7">
                  <c:v>-22458.555784943601</c:v>
                </c:pt>
                <c:pt idx="8">
                  <c:v>0</c:v>
                </c:pt>
                <c:pt idx="9">
                  <c:v>0</c:v>
                </c:pt>
              </c:numCache>
            </c:numRef>
          </c:val>
          <c:extLst>
            <c:ext xmlns:c16="http://schemas.microsoft.com/office/drawing/2014/chart" uri="{C3380CC4-5D6E-409C-BE32-E72D297353CC}">
              <c16:uniqueId val="{00000000-0A38-493D-9E68-24E3E663BFB9}"/>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'High Grade Short Life Case'!$A$264</c:f>
              <c:strCache>
                <c:ptCount val="1"/>
                <c:pt idx="0">
                  <c:v>Cumulative NPV - High Grading Case</c:v>
                </c:pt>
              </c:strCache>
            </c:strRef>
          </c:tx>
          <c:spPr>
            <a:ln w="44450">
              <a:solidFill>
                <a:schemeClr val="accent6">
                  <a:lumMod val="75000"/>
                </a:schemeClr>
              </a:solidFill>
            </a:ln>
          </c:spPr>
          <c:marker>
            <c:symbol val="none"/>
          </c:marker>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Case'!$D$264:$M$264</c:f>
              <c:numCache>
                <c:formatCode>#,##0_);[Red]\(#,##0\)</c:formatCode>
                <c:ptCount val="10"/>
                <c:pt idx="0">
                  <c:v>-4330.1270189221923</c:v>
                </c:pt>
                <c:pt idx="1">
                  <c:v>-30168.333510433215</c:v>
                </c:pt>
                <c:pt idx="2">
                  <c:v>-53152.127662843719</c:v>
                </c:pt>
                <c:pt idx="3">
                  <c:v>-44836.367605507286</c:v>
                </c:pt>
                <c:pt idx="4">
                  <c:v>-22589.763108840871</c:v>
                </c:pt>
                <c:pt idx="5">
                  <c:v>-2500.2000184516437</c:v>
                </c:pt>
                <c:pt idx="6">
                  <c:v>21259.9855369539</c:v>
                </c:pt>
                <c:pt idx="7">
                  <c:v>-1198.5702479897009</c:v>
                </c:pt>
                <c:pt idx="8">
                  <c:v>-1198.5702479897009</c:v>
                </c:pt>
                <c:pt idx="9">
                  <c:v>-1198.5702479897009</c:v>
                </c:pt>
              </c:numCache>
            </c:numRef>
          </c:val>
          <c:smooth val="0"/>
          <c:extLst>
            <c:ext xmlns:c16="http://schemas.microsoft.com/office/drawing/2014/chart" uri="{C3380CC4-5D6E-409C-BE32-E72D297353CC}">
              <c16:uniqueId val="{00000001-0A38-493D-9E68-24E3E663BFB9}"/>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1.3199698076956068E-2"/>
              <c:y val="0.3876921860671030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a:t>
            </a:r>
            <a:r>
              <a:rPr lang="en-US" sz="1400"/>
              <a:t>- Opex</a:t>
            </a:r>
          </a:p>
        </c:rich>
      </c:tx>
      <c:overlay val="1"/>
    </c:title>
    <c:autoTitleDeleted val="0"/>
    <c:plotArea>
      <c:layout>
        <c:manualLayout>
          <c:layoutTarget val="inner"/>
          <c:xMode val="edge"/>
          <c:yMode val="edge"/>
          <c:x val="0.12362077215108147"/>
          <c:y val="0.1766009617925276"/>
          <c:w val="0.6019015544558739"/>
          <c:h val="0.53386460920572842"/>
        </c:manualLayout>
      </c:layout>
      <c:barChart>
        <c:barDir val="col"/>
        <c:grouping val="stacked"/>
        <c:varyColors val="0"/>
        <c:ser>
          <c:idx val="0"/>
          <c:order val="0"/>
          <c:tx>
            <c:strRef>
              <c:f>'High Grade Short Life Case'!$A$158</c:f>
              <c:strCache>
                <c:ptCount val="1"/>
                <c:pt idx="0">
                  <c:v>mining opex</c:v>
                </c:pt>
              </c:strCache>
            </c:strRef>
          </c:tx>
          <c:spPr>
            <a:solidFill>
              <a:srgbClr val="CC9900"/>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Case'!$D$158:$M$158</c:f>
              <c:numCache>
                <c:formatCode>#,##0</c:formatCode>
                <c:ptCount val="10"/>
                <c:pt idx="0">
                  <c:v>0</c:v>
                </c:pt>
                <c:pt idx="1">
                  <c:v>0</c:v>
                </c:pt>
                <c:pt idx="2">
                  <c:v>3200</c:v>
                </c:pt>
                <c:pt idx="3">
                  <c:v>8900</c:v>
                </c:pt>
                <c:pt idx="4">
                  <c:v>9900</c:v>
                </c:pt>
                <c:pt idx="5">
                  <c:v>10400</c:v>
                </c:pt>
                <c:pt idx="6">
                  <c:v>7800</c:v>
                </c:pt>
                <c:pt idx="7">
                  <c:v>0</c:v>
                </c:pt>
                <c:pt idx="8">
                  <c:v>0</c:v>
                </c:pt>
                <c:pt idx="9">
                  <c:v>0</c:v>
                </c:pt>
              </c:numCache>
            </c:numRef>
          </c:val>
          <c:extLst>
            <c:ext xmlns:c16="http://schemas.microsoft.com/office/drawing/2014/chart" uri="{C3380CC4-5D6E-409C-BE32-E72D297353CC}">
              <c16:uniqueId val="{00000000-0682-4443-B0C1-E1556C83F93E}"/>
            </c:ext>
          </c:extLst>
        </c:ser>
        <c:ser>
          <c:idx val="2"/>
          <c:order val="1"/>
          <c:tx>
            <c:strRef>
              <c:f>'High Grade Short Life Case'!$A$174</c:f>
              <c:strCache>
                <c:ptCount val="1"/>
                <c:pt idx="0">
                  <c:v>processing opex</c:v>
                </c:pt>
              </c:strCache>
            </c:strRef>
          </c:tx>
          <c:spPr>
            <a:solidFill>
              <a:srgbClr val="FFC000"/>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Case'!$D$174:$M$174</c:f>
              <c:numCache>
                <c:formatCode>#,##0</c:formatCode>
                <c:ptCount val="10"/>
                <c:pt idx="0">
                  <c:v>0</c:v>
                </c:pt>
                <c:pt idx="1">
                  <c:v>0</c:v>
                </c:pt>
                <c:pt idx="2">
                  <c:v>0</c:v>
                </c:pt>
                <c:pt idx="3">
                  <c:v>16985.594855305466</c:v>
                </c:pt>
                <c:pt idx="4">
                  <c:v>20928.617363344052</c:v>
                </c:pt>
                <c:pt idx="5">
                  <c:v>20839.871382636655</c:v>
                </c:pt>
                <c:pt idx="6">
                  <c:v>13970.160771704181</c:v>
                </c:pt>
                <c:pt idx="7">
                  <c:v>0</c:v>
                </c:pt>
                <c:pt idx="8">
                  <c:v>0</c:v>
                </c:pt>
                <c:pt idx="9">
                  <c:v>0</c:v>
                </c:pt>
              </c:numCache>
            </c:numRef>
          </c:val>
          <c:extLst>
            <c:ext xmlns:c16="http://schemas.microsoft.com/office/drawing/2014/chart" uri="{C3380CC4-5D6E-409C-BE32-E72D297353CC}">
              <c16:uniqueId val="{00000001-0682-4443-B0C1-E1556C83F93E}"/>
            </c:ext>
          </c:extLst>
        </c:ser>
        <c:ser>
          <c:idx val="3"/>
          <c:order val="2"/>
          <c:tx>
            <c:strRef>
              <c:f>'High Grade Short Life Case'!$A$185</c:f>
              <c:strCache>
                <c:ptCount val="1"/>
                <c:pt idx="0">
                  <c:v>General &amp; Administration</c:v>
                </c:pt>
              </c:strCache>
            </c:strRef>
          </c:tx>
          <c:spPr>
            <a:solidFill>
              <a:srgbClr val="FFFF00"/>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Case'!$D$185:$M$185</c:f>
              <c:numCache>
                <c:formatCode>#,##0</c:formatCode>
                <c:ptCount val="10"/>
                <c:pt idx="0">
                  <c:v>0</c:v>
                </c:pt>
                <c:pt idx="1">
                  <c:v>0</c:v>
                </c:pt>
                <c:pt idx="2">
                  <c:v>0</c:v>
                </c:pt>
                <c:pt idx="3">
                  <c:v>9800</c:v>
                </c:pt>
                <c:pt idx="4">
                  <c:v>10000</c:v>
                </c:pt>
                <c:pt idx="5">
                  <c:v>10000</c:v>
                </c:pt>
                <c:pt idx="6">
                  <c:v>9600</c:v>
                </c:pt>
                <c:pt idx="7">
                  <c:v>0</c:v>
                </c:pt>
                <c:pt idx="8">
                  <c:v>0</c:v>
                </c:pt>
                <c:pt idx="9">
                  <c:v>0</c:v>
                </c:pt>
              </c:numCache>
            </c:numRef>
          </c:val>
          <c:extLst>
            <c:ext xmlns:c16="http://schemas.microsoft.com/office/drawing/2014/chart" uri="{C3380CC4-5D6E-409C-BE32-E72D297353CC}">
              <c16:uniqueId val="{00000002-0682-4443-B0C1-E1556C83F93E}"/>
            </c:ext>
          </c:extLst>
        </c:ser>
        <c:ser>
          <c:idx val="1"/>
          <c:order val="3"/>
          <c:tx>
            <c:strRef>
              <c:f>'High Grade Short Life Case'!$A$192</c:f>
              <c:strCache>
                <c:ptCount val="1"/>
                <c:pt idx="0">
                  <c:v>Private Royalties</c:v>
                </c:pt>
              </c:strCache>
            </c:strRef>
          </c:tx>
          <c:spPr>
            <a:solidFill>
              <a:schemeClr val="accent6">
                <a:lumMod val="50000"/>
              </a:schemeClr>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Case'!$D$192:$M$192</c:f>
              <c:numCache>
                <c:formatCode>#,##0</c:formatCode>
                <c:ptCount val="10"/>
                <c:pt idx="0">
                  <c:v>0</c:v>
                </c:pt>
                <c:pt idx="1">
                  <c:v>0</c:v>
                </c:pt>
                <c:pt idx="2">
                  <c:v>0</c:v>
                </c:pt>
                <c:pt idx="3">
                  <c:v>686.31873456235883</c:v>
                </c:pt>
                <c:pt idx="4">
                  <c:v>1146.7474647538957</c:v>
                </c:pt>
                <c:pt idx="5">
                  <c:v>1186.4769650910248</c:v>
                </c:pt>
                <c:pt idx="6">
                  <c:v>1032.2253243387015</c:v>
                </c:pt>
                <c:pt idx="7">
                  <c:v>0</c:v>
                </c:pt>
                <c:pt idx="8">
                  <c:v>0</c:v>
                </c:pt>
                <c:pt idx="9">
                  <c:v>0</c:v>
                </c:pt>
              </c:numCache>
            </c:numRef>
          </c:val>
          <c:extLst>
            <c:ext xmlns:c16="http://schemas.microsoft.com/office/drawing/2014/chart" uri="{C3380CC4-5D6E-409C-BE32-E72D297353CC}">
              <c16:uniqueId val="{00000003-0682-4443-B0C1-E1556C83F93E}"/>
            </c:ext>
          </c:extLst>
        </c:ser>
        <c:dLbls>
          <c:showLegendKey val="0"/>
          <c:showVal val="0"/>
          <c:showCatName val="0"/>
          <c:showSerName val="0"/>
          <c:showPercent val="0"/>
          <c:showBubbleSize val="0"/>
        </c:dLbls>
        <c:gapWidth val="0"/>
        <c:overlap val="100"/>
        <c:axId val="320192040"/>
        <c:axId val="320194784"/>
      </c:barChart>
      <c:catAx>
        <c:axId val="320192040"/>
        <c:scaling>
          <c:orientation val="minMax"/>
        </c:scaling>
        <c:delete val="0"/>
        <c:axPos val="b"/>
        <c:numFmt formatCode="General" sourceLinked="1"/>
        <c:majorTickMark val="out"/>
        <c:minorTickMark val="none"/>
        <c:tickLblPos val="nextTo"/>
        <c:txPr>
          <a:bodyPr rot="-5400000" vert="horz"/>
          <a:lstStyle/>
          <a:p>
            <a:pPr algn="ctr">
              <a:defRPr lang="en-US" sz="1000" b="0" i="0" u="none" strike="noStrike" kern="1200" baseline="0">
                <a:solidFill>
                  <a:schemeClr val="tx1"/>
                </a:solidFill>
                <a:latin typeface="+mn-lt"/>
                <a:ea typeface="+mn-ea"/>
                <a:cs typeface="+mn-cs"/>
              </a:defRPr>
            </a:pPr>
            <a:endParaRPr lang="en-US"/>
          </a:p>
        </c:txPr>
        <c:crossAx val="320194784"/>
        <c:crosses val="autoZero"/>
        <c:auto val="1"/>
        <c:lblAlgn val="ctr"/>
        <c:lblOffset val="100"/>
        <c:noMultiLvlLbl val="0"/>
      </c:catAx>
      <c:valAx>
        <c:axId val="320194784"/>
        <c:scaling>
          <c:orientation val="minMax"/>
        </c:scaling>
        <c:delete val="0"/>
        <c:axPos val="l"/>
        <c:majorGridlines/>
        <c:title>
          <c:tx>
            <c:rich>
              <a:bodyPr rot="-5400000" vert="horz"/>
              <a:lstStyle/>
              <a:p>
                <a:pPr>
                  <a:defRPr sz="1200" b="1"/>
                </a:pPr>
                <a:r>
                  <a:rPr lang="en-US" sz="1200" b="1"/>
                  <a:t>A$M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2040"/>
        <c:crosses val="autoZero"/>
        <c:crossBetween val="between"/>
        <c:dispUnits>
          <c:builtInUnit val="thousands"/>
        </c:dispUnits>
      </c:valAx>
    </c:plotArea>
    <c:legend>
      <c:legendPos val="r"/>
      <c:layout>
        <c:manualLayout>
          <c:xMode val="edge"/>
          <c:yMode val="edge"/>
          <c:x val="0.71497453134563715"/>
          <c:y val="0.17835001780556325"/>
          <c:w val="0.28117157329856063"/>
          <c:h val="0.71863780846489678"/>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 </a:t>
            </a:r>
            <a:r>
              <a:rPr lang="en-US" sz="1400"/>
              <a:t>Capex</a:t>
            </a:r>
          </a:p>
        </c:rich>
      </c:tx>
      <c:layout>
        <c:manualLayout>
          <c:xMode val="edge"/>
          <c:yMode val="edge"/>
          <c:x val="0.26083701845603308"/>
          <c:y val="6.1643835616438353E-2"/>
        </c:manualLayout>
      </c:layout>
      <c:overlay val="1"/>
    </c:title>
    <c:autoTitleDeleted val="0"/>
    <c:plotArea>
      <c:layout>
        <c:manualLayout>
          <c:layoutTarget val="inner"/>
          <c:xMode val="edge"/>
          <c:yMode val="edge"/>
          <c:x val="0.18897995253745864"/>
          <c:y val="0.16988953377835198"/>
          <c:w val="0.76558945894688757"/>
          <c:h val="0.52051504692050476"/>
        </c:manualLayout>
      </c:layout>
      <c:barChart>
        <c:barDir val="col"/>
        <c:grouping val="stacked"/>
        <c:varyColors val="0"/>
        <c:ser>
          <c:idx val="0"/>
          <c:order val="0"/>
          <c:tx>
            <c:strRef>
              <c:f>'High Grade Short Life Case'!$A$102</c:f>
              <c:strCache>
                <c:ptCount val="1"/>
                <c:pt idx="0">
                  <c:v>Initial capex</c:v>
                </c:pt>
              </c:strCache>
            </c:strRef>
          </c:tx>
          <c:spPr>
            <a:solidFill>
              <a:srgbClr val="0070C0"/>
            </a:solidFill>
            <a:ln>
              <a:noFill/>
            </a:ln>
          </c:spPr>
          <c:invertIfNegative val="0"/>
          <c:cat>
            <c:numRef>
              <c:f>'High Grade Short Life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Case'!$D$102:$M$102</c:f>
              <c:numCache>
                <c:formatCode>#,##0</c:formatCode>
                <c:ptCount val="10"/>
                <c:pt idx="0">
                  <c:v>4500</c:v>
                </c:pt>
                <c:pt idx="1">
                  <c:v>29000</c:v>
                </c:pt>
                <c:pt idx="2">
                  <c:v>24500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058-4D24-BFD0-C0E9138618F7}"/>
            </c:ext>
          </c:extLst>
        </c:ser>
        <c:ser>
          <c:idx val="2"/>
          <c:order val="1"/>
          <c:tx>
            <c:strRef>
              <c:f>'High Grade Short Life Case'!$A$111</c:f>
              <c:strCache>
                <c:ptCount val="1"/>
                <c:pt idx="0">
                  <c:v>ongoing capex</c:v>
                </c:pt>
              </c:strCache>
            </c:strRef>
          </c:tx>
          <c:spPr>
            <a:solidFill>
              <a:schemeClr val="accent5">
                <a:lumMod val="40000"/>
                <a:lumOff val="60000"/>
              </a:schemeClr>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Case'!$D$111:$M$111</c:f>
              <c:numCache>
                <c:formatCode>#,##0</c:formatCode>
                <c:ptCount val="10"/>
                <c:pt idx="0">
                  <c:v>0</c:v>
                </c:pt>
                <c:pt idx="1">
                  <c:v>0</c:v>
                </c:pt>
                <c:pt idx="2">
                  <c:v>0</c:v>
                </c:pt>
                <c:pt idx="3">
                  <c:v>5800</c:v>
                </c:pt>
                <c:pt idx="4">
                  <c:v>5800</c:v>
                </c:pt>
                <c:pt idx="5">
                  <c:v>7300</c:v>
                </c:pt>
                <c:pt idx="6">
                  <c:v>5800</c:v>
                </c:pt>
                <c:pt idx="7">
                  <c:v>0</c:v>
                </c:pt>
                <c:pt idx="8">
                  <c:v>0</c:v>
                </c:pt>
                <c:pt idx="9">
                  <c:v>0</c:v>
                </c:pt>
              </c:numCache>
            </c:numRef>
          </c:val>
          <c:extLst>
            <c:ext xmlns:c16="http://schemas.microsoft.com/office/drawing/2014/chart" uri="{C3380CC4-5D6E-409C-BE32-E72D297353CC}">
              <c16:uniqueId val="{00000001-F058-4D24-BFD0-C0E9138618F7}"/>
            </c:ext>
          </c:extLst>
        </c:ser>
        <c:dLbls>
          <c:showLegendKey val="0"/>
          <c:showVal val="0"/>
          <c:showCatName val="0"/>
          <c:showSerName val="0"/>
          <c:showPercent val="0"/>
          <c:showBubbleSize val="0"/>
        </c:dLbls>
        <c:gapWidth val="0"/>
        <c:overlap val="100"/>
        <c:axId val="320193216"/>
        <c:axId val="320195176"/>
      </c:barChart>
      <c:catAx>
        <c:axId val="320193216"/>
        <c:scaling>
          <c:orientation val="minMax"/>
        </c:scaling>
        <c:delete val="0"/>
        <c:axPos val="b"/>
        <c:numFmt formatCode="General" sourceLinked="1"/>
        <c:majorTickMark val="out"/>
        <c:minorTickMark val="none"/>
        <c:tickLblPos val="nextTo"/>
        <c:txPr>
          <a:bodyPr/>
          <a:lstStyle/>
          <a:p>
            <a:pPr>
              <a:defRPr sz="1000" b="0"/>
            </a:pPr>
            <a:endParaRPr lang="en-US"/>
          </a:p>
        </c:txPr>
        <c:crossAx val="320195176"/>
        <c:crosses val="autoZero"/>
        <c:auto val="1"/>
        <c:lblAlgn val="ctr"/>
        <c:lblOffset val="100"/>
        <c:noMultiLvlLbl val="0"/>
      </c:catAx>
      <c:valAx>
        <c:axId val="320195176"/>
        <c:scaling>
          <c:orientation val="minMax"/>
        </c:scaling>
        <c:delete val="0"/>
        <c:axPos val="l"/>
        <c:majorGridlines/>
        <c:title>
          <c:tx>
            <c:rich>
              <a:bodyPr rot="-5400000" vert="horz"/>
              <a:lstStyle/>
              <a:p>
                <a:pPr>
                  <a:defRPr sz="1200" b="1"/>
                </a:pPr>
                <a:r>
                  <a:rPr lang="en-US" sz="1200" b="1"/>
                  <a:t>A$M</a:t>
                </a:r>
              </a:p>
            </c:rich>
          </c:tx>
          <c:layout>
            <c:manualLayout>
              <c:xMode val="edge"/>
              <c:yMode val="edge"/>
              <c:x val="6.8426408237431862E-3"/>
              <c:y val="0.31347643188437069"/>
            </c:manualLayout>
          </c:layout>
          <c:overlay val="0"/>
        </c:title>
        <c:numFmt formatCode="#,##0" sourceLinked="1"/>
        <c:majorTickMark val="out"/>
        <c:minorTickMark val="none"/>
        <c:tickLblPos val="nextTo"/>
        <c:txPr>
          <a:bodyPr/>
          <a:lstStyle/>
          <a:p>
            <a:pPr>
              <a:defRPr sz="1000" b="0"/>
            </a:pPr>
            <a:endParaRPr lang="en-US"/>
          </a:p>
        </c:txPr>
        <c:crossAx val="320193216"/>
        <c:crosses val="autoZero"/>
        <c:crossBetween val="between"/>
        <c:dispUnits>
          <c:builtInUnit val="thousands"/>
        </c:dispUnits>
      </c:valAx>
    </c:plotArea>
    <c:legend>
      <c:legendPos val="b"/>
      <c:layout>
        <c:manualLayout>
          <c:xMode val="edge"/>
          <c:yMode val="edge"/>
          <c:x val="0.12138325665411917"/>
          <c:y val="0.86503317854498962"/>
          <c:w val="0.82040270940158455"/>
          <c:h val="0.11445400094218992"/>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 </a:t>
            </a:r>
            <a:r>
              <a:rPr lang="en-US" sz="1400"/>
              <a:t>Taxes</a:t>
            </a:r>
          </a:p>
        </c:rich>
      </c:tx>
      <c:overlay val="1"/>
    </c:title>
    <c:autoTitleDeleted val="0"/>
    <c:plotArea>
      <c:layout>
        <c:manualLayout>
          <c:layoutTarget val="inner"/>
          <c:xMode val="edge"/>
          <c:yMode val="edge"/>
          <c:x val="0.14472902020900982"/>
          <c:y val="0.16988953377835198"/>
          <c:w val="0.74435965466787291"/>
          <c:h val="0.54050411630235029"/>
        </c:manualLayout>
      </c:layout>
      <c:barChart>
        <c:barDir val="col"/>
        <c:grouping val="stacked"/>
        <c:varyColors val="0"/>
        <c:ser>
          <c:idx val="0"/>
          <c:order val="0"/>
          <c:tx>
            <c:strRef>
              <c:f>'High Grade Short Life Case'!$A$219</c:f>
              <c:strCache>
                <c:ptCount val="1"/>
                <c:pt idx="0">
                  <c:v>State Royalty</c:v>
                </c:pt>
              </c:strCache>
            </c:strRef>
          </c:tx>
          <c:spPr>
            <a:solidFill>
              <a:schemeClr val="accent4">
                <a:lumMod val="75000"/>
              </a:schemeClr>
            </a:solidFill>
            <a:ln>
              <a:noFill/>
            </a:ln>
          </c:spPr>
          <c:invertIfNegative val="0"/>
          <c:cat>
            <c:numRef>
              <c:f>'High Grade Short Life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Case'!$D$219:$M$219</c:f>
              <c:numCache>
                <c:formatCode>#,##0</c:formatCode>
                <c:ptCount val="10"/>
                <c:pt idx="0">
                  <c:v>0</c:v>
                </c:pt>
                <c:pt idx="1">
                  <c:v>0</c:v>
                </c:pt>
                <c:pt idx="2">
                  <c:v>0</c:v>
                </c:pt>
                <c:pt idx="3">
                  <c:v>1647.164962949661</c:v>
                </c:pt>
                <c:pt idx="4">
                  <c:v>2752.1939154093493</c:v>
                </c:pt>
                <c:pt idx="5">
                  <c:v>2847.5447162184596</c:v>
                </c:pt>
                <c:pt idx="6">
                  <c:v>2477.3407784128835</c:v>
                </c:pt>
                <c:pt idx="7">
                  <c:v>0</c:v>
                </c:pt>
                <c:pt idx="8">
                  <c:v>0</c:v>
                </c:pt>
                <c:pt idx="9">
                  <c:v>0</c:v>
                </c:pt>
              </c:numCache>
            </c:numRef>
          </c:val>
          <c:extLst>
            <c:ext xmlns:c16="http://schemas.microsoft.com/office/drawing/2014/chart" uri="{C3380CC4-5D6E-409C-BE32-E72D297353CC}">
              <c16:uniqueId val="{00000000-DCB7-4E51-BAB5-9E6CE5F63659}"/>
            </c:ext>
          </c:extLst>
        </c:ser>
        <c:ser>
          <c:idx val="2"/>
          <c:order val="1"/>
          <c:tx>
            <c:strRef>
              <c:f>'High Grade Short Life Case'!$A$241</c:f>
              <c:strCache>
                <c:ptCount val="1"/>
                <c:pt idx="0">
                  <c:v>Income tax payment</c:v>
                </c:pt>
              </c:strCache>
            </c:strRef>
          </c:tx>
          <c:spPr>
            <a:solidFill>
              <a:schemeClr val="accent4">
                <a:lumMod val="40000"/>
                <a:lumOff val="60000"/>
              </a:schemeClr>
            </a:solidFill>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Case'!$D$241:$M$241</c:f>
              <c:numCache>
                <c:formatCode>#,##0</c:formatCode>
                <c:ptCount val="10"/>
                <c:pt idx="0">
                  <c:v>0</c:v>
                </c:pt>
                <c:pt idx="1">
                  <c:v>0</c:v>
                </c:pt>
                <c:pt idx="2">
                  <c:v>0</c:v>
                </c:pt>
                <c:pt idx="3">
                  <c:v>0</c:v>
                </c:pt>
                <c:pt idx="4">
                  <c:v>9538.618583799318</c:v>
                </c:pt>
                <c:pt idx="5">
                  <c:v>11448.093359746341</c:v>
                </c:pt>
                <c:pt idx="6">
                  <c:v>2594.7077122203086</c:v>
                </c:pt>
                <c:pt idx="7">
                  <c:v>0</c:v>
                </c:pt>
                <c:pt idx="8">
                  <c:v>0</c:v>
                </c:pt>
                <c:pt idx="9">
                  <c:v>0</c:v>
                </c:pt>
              </c:numCache>
            </c:numRef>
          </c:val>
          <c:extLst>
            <c:ext xmlns:c16="http://schemas.microsoft.com/office/drawing/2014/chart" uri="{C3380CC4-5D6E-409C-BE32-E72D297353CC}">
              <c16:uniqueId val="{00000001-DCB7-4E51-BAB5-9E6CE5F63659}"/>
            </c:ext>
          </c:extLst>
        </c:ser>
        <c:dLbls>
          <c:showLegendKey val="0"/>
          <c:showVal val="0"/>
          <c:showCatName val="0"/>
          <c:showSerName val="0"/>
          <c:showPercent val="0"/>
          <c:showBubbleSize val="0"/>
        </c:dLbls>
        <c:gapWidth val="0"/>
        <c:overlap val="100"/>
        <c:axId val="320195568"/>
        <c:axId val="320189688"/>
      </c:barChart>
      <c:catAx>
        <c:axId val="320195568"/>
        <c:scaling>
          <c:orientation val="minMax"/>
        </c:scaling>
        <c:delete val="0"/>
        <c:axPos val="b"/>
        <c:numFmt formatCode="General" sourceLinked="1"/>
        <c:majorTickMark val="out"/>
        <c:minorTickMark val="none"/>
        <c:tickLblPos val="nextTo"/>
        <c:txPr>
          <a:bodyPr/>
          <a:lstStyle/>
          <a:p>
            <a:pPr>
              <a:defRPr sz="1000" b="0"/>
            </a:pPr>
            <a:endParaRPr lang="en-US"/>
          </a:p>
        </c:txPr>
        <c:crossAx val="320189688"/>
        <c:crosses val="autoZero"/>
        <c:auto val="1"/>
        <c:lblAlgn val="ctr"/>
        <c:lblOffset val="100"/>
        <c:noMultiLvlLbl val="0"/>
      </c:catAx>
      <c:valAx>
        <c:axId val="320189688"/>
        <c:scaling>
          <c:orientation val="minMax"/>
        </c:scaling>
        <c:delete val="0"/>
        <c:axPos val="l"/>
        <c:majorGridlines/>
        <c:title>
          <c:tx>
            <c:rich>
              <a:bodyPr rot="-5400000" vert="horz"/>
              <a:lstStyle/>
              <a:p>
                <a:pPr>
                  <a:defRPr sz="1200" b="1"/>
                </a:pPr>
                <a:r>
                  <a:rPr lang="en-US" sz="1200" b="1"/>
                  <a:t>$M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5568"/>
        <c:crosses val="autoZero"/>
        <c:crossBetween val="between"/>
        <c:dispUnits>
          <c:builtInUnit val="thousands"/>
        </c:dispUnits>
      </c:valAx>
    </c:plotArea>
    <c:legend>
      <c:legendPos val="b"/>
      <c:layout>
        <c:manualLayout>
          <c:xMode val="edge"/>
          <c:yMode val="edge"/>
          <c:x val="0.14909687868942031"/>
          <c:y val="0.89922111909924307"/>
          <c:w val="0.77763203856023566"/>
          <c:h val="0.10077888090075693"/>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High Grading Case - </a:t>
            </a:r>
            <a:r>
              <a:rPr lang="en-US" sz="1600"/>
              <a:t>Cash</a:t>
            </a:r>
            <a:endParaRPr lang="en-US" sz="1400"/>
          </a:p>
        </c:rich>
      </c:tx>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'High Grade Short Life Case'!$A$253</c:f>
              <c:strCache>
                <c:ptCount val="1"/>
                <c:pt idx="0">
                  <c:v>Cash Generation - High Grading Case</c:v>
                </c:pt>
              </c:strCache>
            </c:strRef>
          </c:tx>
          <c:spPr>
            <a:solidFill>
              <a:srgbClr val="33CC33"/>
            </a:solidFill>
            <a:ln>
              <a:noFill/>
            </a:ln>
          </c:spPr>
          <c:invertIfNegative val="0"/>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Case'!$D$253:$M$253</c:f>
              <c:numCache>
                <c:formatCode>#,##0</c:formatCode>
                <c:ptCount val="10"/>
                <c:pt idx="0">
                  <c:v>-4500</c:v>
                </c:pt>
                <c:pt idx="1">
                  <c:v>-29000</c:v>
                </c:pt>
                <c:pt idx="2">
                  <c:v>-27860</c:v>
                </c:pt>
                <c:pt idx="3">
                  <c:v>10886.420212171222</c:v>
                </c:pt>
                <c:pt idx="4">
                  <c:v>31453.619853005039</c:v>
                </c:pt>
                <c:pt idx="5">
                  <c:v>30676.170783589499</c:v>
                </c:pt>
                <c:pt idx="6">
                  <c:v>39183.59136042004</c:v>
                </c:pt>
                <c:pt idx="7">
                  <c:v>-40000</c:v>
                </c:pt>
                <c:pt idx="8">
                  <c:v>0</c:v>
                </c:pt>
                <c:pt idx="9">
                  <c:v>0</c:v>
                </c:pt>
              </c:numCache>
            </c:numRef>
          </c:val>
          <c:extLst>
            <c:ext xmlns:c16="http://schemas.microsoft.com/office/drawing/2014/chart" uri="{C3380CC4-5D6E-409C-BE32-E72D297353CC}">
              <c16:uniqueId val="{00000000-65C3-4507-A7B9-7270D98881C2}"/>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'High Grade Short Life Case'!$A$254</c:f>
              <c:strCache>
                <c:ptCount val="1"/>
                <c:pt idx="0">
                  <c:v>Cumulative Cash Generation - High Grading Case</c:v>
                </c:pt>
              </c:strCache>
            </c:strRef>
          </c:tx>
          <c:spPr>
            <a:ln w="31750">
              <a:solidFill>
                <a:srgbClr val="269A26"/>
              </a:solidFill>
            </a:ln>
          </c:spPr>
          <c:marker>
            <c:symbol val="none"/>
          </c:marker>
          <c:cat>
            <c:numRef>
              <c:f>'High Grade Short Life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'High Grade Short Life Case'!$D$254:$M$254</c:f>
              <c:numCache>
                <c:formatCode>#,##0_);[Red]\(#,##0\)</c:formatCode>
                <c:ptCount val="10"/>
                <c:pt idx="0">
                  <c:v>-4500</c:v>
                </c:pt>
                <c:pt idx="1">
                  <c:v>-33500</c:v>
                </c:pt>
                <c:pt idx="2">
                  <c:v>-61360</c:v>
                </c:pt>
                <c:pt idx="3">
                  <c:v>-50473.579787828778</c:v>
                </c:pt>
                <c:pt idx="4">
                  <c:v>-19019.959934823739</c:v>
                </c:pt>
                <c:pt idx="5">
                  <c:v>11656.210848765761</c:v>
                </c:pt>
                <c:pt idx="6">
                  <c:v>50839.8022091858</c:v>
                </c:pt>
                <c:pt idx="7">
                  <c:v>10839.8022091858</c:v>
                </c:pt>
                <c:pt idx="8">
                  <c:v>10839.8022091858</c:v>
                </c:pt>
                <c:pt idx="9">
                  <c:v>10839.8022091858</c:v>
                </c:pt>
              </c:numCache>
            </c:numRef>
          </c:val>
          <c:smooth val="0"/>
          <c:extLst>
            <c:ext xmlns:c16="http://schemas.microsoft.com/office/drawing/2014/chart" uri="{C3380CC4-5D6E-409C-BE32-E72D297353CC}">
              <c16:uniqueId val="{00000001-65C3-4507-A7B9-7270D98881C2}"/>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2.1291713535808023E-2"/>
              <c:y val="0.4050836471528015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 </a:t>
            </a:r>
            <a:r>
              <a:rPr lang="en-US" sz="1400"/>
              <a:t>Sales, Price, Opex per ounce </a:t>
            </a:r>
          </a:p>
        </c:rich>
      </c:tx>
      <c:layout>
        <c:manualLayout>
          <c:xMode val="edge"/>
          <c:yMode val="edge"/>
          <c:x val="0.13056239560963967"/>
          <c:y val="3.951701427003293E-2"/>
        </c:manualLayout>
      </c:layout>
      <c:overlay val="0"/>
    </c:title>
    <c:autoTitleDeleted val="0"/>
    <c:plotArea>
      <c:layout>
        <c:manualLayout>
          <c:layoutTarget val="inner"/>
          <c:xMode val="edge"/>
          <c:yMode val="edge"/>
          <c:x val="0.14649422854401264"/>
          <c:y val="0.16050388340795591"/>
          <c:w val="0.66308613696015284"/>
          <c:h val="0.52756666119259787"/>
        </c:manualLayout>
      </c:layout>
      <c:barChart>
        <c:barDir val="col"/>
        <c:grouping val="stacked"/>
        <c:varyColors val="0"/>
        <c:ser>
          <c:idx val="0"/>
          <c:order val="0"/>
          <c:tx>
            <c:strRef>
              <c:f>'Base Case'!$A$77</c:f>
              <c:strCache>
                <c:ptCount val="1"/>
                <c:pt idx="0">
                  <c:v>Gold sold</c:v>
                </c:pt>
              </c:strCache>
            </c:strRef>
          </c:tx>
          <c:spPr>
            <a:solidFill>
              <a:srgbClr val="FFF2BD"/>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Case'!$D$77:$M$77</c:f>
              <c:numCache>
                <c:formatCode>#,##0</c:formatCode>
                <c:ptCount val="10"/>
                <c:pt idx="0" formatCode="General">
                  <c:v>0</c:v>
                </c:pt>
                <c:pt idx="1">
                  <c:v>0</c:v>
                </c:pt>
                <c:pt idx="2">
                  <c:v>0</c:v>
                </c:pt>
                <c:pt idx="3">
                  <c:v>23.157061587929753</c:v>
                </c:pt>
                <c:pt idx="4">
                  <c:v>47.382636655948552</c:v>
                </c:pt>
                <c:pt idx="5">
                  <c:v>51.302003462775176</c:v>
                </c:pt>
                <c:pt idx="6">
                  <c:v>46.659906010388326</c:v>
                </c:pt>
                <c:pt idx="7">
                  <c:v>46.147909967845656</c:v>
                </c:pt>
                <c:pt idx="8">
                  <c:v>23.073954983922832</c:v>
                </c:pt>
                <c:pt idx="9">
                  <c:v>0</c:v>
                </c:pt>
              </c:numCache>
            </c:numRef>
          </c:val>
          <c:extLst>
            <c:ext xmlns:c16="http://schemas.microsoft.com/office/drawing/2014/chart" uri="{C3380CC4-5D6E-409C-BE32-E72D297353CC}">
              <c16:uniqueId val="{00000000-B525-4F13-A0E7-8A1D03ACA65B}"/>
            </c:ext>
          </c:extLst>
        </c:ser>
        <c:dLbls>
          <c:showLegendKey val="0"/>
          <c:showVal val="0"/>
          <c:showCatName val="0"/>
          <c:showSerName val="0"/>
          <c:showPercent val="0"/>
          <c:showBubbleSize val="0"/>
        </c:dLbls>
        <c:gapWidth val="0"/>
        <c:overlap val="100"/>
        <c:axId val="323268664"/>
        <c:axId val="323263960"/>
      </c:barChart>
      <c:lineChart>
        <c:grouping val="standard"/>
        <c:varyColors val="0"/>
        <c:ser>
          <c:idx val="1"/>
          <c:order val="1"/>
          <c:tx>
            <c:strRef>
              <c:f>'Base Case'!$A$80</c:f>
              <c:strCache>
                <c:ptCount val="1"/>
                <c:pt idx="0">
                  <c:v>Gold price forecast</c:v>
                </c:pt>
              </c:strCache>
            </c:strRef>
          </c:tx>
          <c:spPr>
            <a:ln w="28575">
              <a:solidFill>
                <a:srgbClr val="FFC000"/>
              </a:solidFill>
            </a:ln>
          </c:spPr>
          <c:marker>
            <c:symbol val="none"/>
          </c:marker>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Case'!$D$80:$M$80</c:f>
              <c:numCache>
                <c:formatCode>#,##0</c:formatCode>
                <c:ptCount val="10"/>
                <c:pt idx="0">
                  <c:v>2000</c:v>
                </c:pt>
                <c:pt idx="1">
                  <c:v>2000</c:v>
                </c:pt>
                <c:pt idx="2">
                  <c:v>2000</c:v>
                </c:pt>
                <c:pt idx="3">
                  <c:v>2000</c:v>
                </c:pt>
                <c:pt idx="4">
                  <c:v>2000</c:v>
                </c:pt>
                <c:pt idx="5">
                  <c:v>2000</c:v>
                </c:pt>
                <c:pt idx="6">
                  <c:v>2000</c:v>
                </c:pt>
                <c:pt idx="7">
                  <c:v>2000</c:v>
                </c:pt>
                <c:pt idx="8">
                  <c:v>2000</c:v>
                </c:pt>
                <c:pt idx="9">
                  <c:v>2000</c:v>
                </c:pt>
              </c:numCache>
            </c:numRef>
          </c:val>
          <c:smooth val="0"/>
          <c:extLst>
            <c:ext xmlns:c16="http://schemas.microsoft.com/office/drawing/2014/chart" uri="{C3380CC4-5D6E-409C-BE32-E72D297353CC}">
              <c16:uniqueId val="{00000001-B525-4F13-A0E7-8A1D03ACA65B}"/>
            </c:ext>
          </c:extLst>
        </c:ser>
        <c:ser>
          <c:idx val="3"/>
          <c:order val="2"/>
          <c:tx>
            <c:strRef>
              <c:f>'Base Case'!$A$211</c:f>
              <c:strCache>
                <c:ptCount val="1"/>
                <c:pt idx="0">
                  <c:v>opex including gov't royalty</c:v>
                </c:pt>
              </c:strCache>
            </c:strRef>
          </c:tx>
          <c:spPr>
            <a:ln w="73025">
              <a:solidFill>
                <a:schemeClr val="accent6">
                  <a:lumMod val="60000"/>
                  <a:lumOff val="40000"/>
                </a:schemeClr>
              </a:solidFill>
              <a:prstDash val="sysDot"/>
            </a:ln>
          </c:spPr>
          <c:marker>
            <c:symbol val="none"/>
          </c:marker>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Case'!$D$211:$M$211</c:f>
              <c:numCache>
                <c:formatCode>#,##0</c:formatCode>
                <c:ptCount val="10"/>
                <c:pt idx="0">
                  <c:v>0</c:v>
                </c:pt>
                <c:pt idx="1">
                  <c:v>0</c:v>
                </c:pt>
                <c:pt idx="2">
                  <c:v>0</c:v>
                </c:pt>
                <c:pt idx="3">
                  <c:v>1470.0605742252467</c:v>
                </c:pt>
                <c:pt idx="4">
                  <c:v>983.95083661127433</c:v>
                </c:pt>
                <c:pt idx="5">
                  <c:v>967.14721998853054</c:v>
                </c:pt>
                <c:pt idx="6">
                  <c:v>1034.6600254272232</c:v>
                </c:pt>
                <c:pt idx="7">
                  <c:v>1033.2217415092812</c:v>
                </c:pt>
                <c:pt idx="8">
                  <c:v>1706.9526220255818</c:v>
                </c:pt>
                <c:pt idx="9">
                  <c:v>0</c:v>
                </c:pt>
              </c:numCache>
            </c:numRef>
          </c:val>
          <c:smooth val="0"/>
          <c:extLst>
            <c:ext xmlns:c16="http://schemas.microsoft.com/office/drawing/2014/chart" uri="{C3380CC4-5D6E-409C-BE32-E72D297353CC}">
              <c16:uniqueId val="{00000002-B525-4F13-A0E7-8A1D03ACA65B}"/>
            </c:ext>
          </c:extLst>
        </c:ser>
        <c:dLbls>
          <c:showLegendKey val="0"/>
          <c:showVal val="0"/>
          <c:showCatName val="0"/>
          <c:showSerName val="0"/>
          <c:showPercent val="0"/>
          <c:showBubbleSize val="0"/>
        </c:dLbls>
        <c:marker val="1"/>
        <c:smooth val="0"/>
        <c:axId val="323266312"/>
        <c:axId val="323269056"/>
      </c:lineChart>
      <c:catAx>
        <c:axId val="323268664"/>
        <c:scaling>
          <c:orientation val="minMax"/>
        </c:scaling>
        <c:delete val="0"/>
        <c:axPos val="b"/>
        <c:numFmt formatCode="General" sourceLinked="1"/>
        <c:majorTickMark val="out"/>
        <c:minorTickMark val="none"/>
        <c:tickLblPos val="nextTo"/>
        <c:txPr>
          <a:bodyPr/>
          <a:lstStyle/>
          <a:p>
            <a:pPr>
              <a:defRPr sz="1000"/>
            </a:pPr>
            <a:endParaRPr lang="en-US"/>
          </a:p>
        </c:txPr>
        <c:crossAx val="323263960"/>
        <c:crosses val="autoZero"/>
        <c:auto val="1"/>
        <c:lblAlgn val="ctr"/>
        <c:lblOffset val="100"/>
        <c:noMultiLvlLbl val="0"/>
      </c:catAx>
      <c:valAx>
        <c:axId val="323263960"/>
        <c:scaling>
          <c:orientation val="minMax"/>
        </c:scaling>
        <c:delete val="0"/>
        <c:axPos val="l"/>
        <c:majorGridlines/>
        <c:title>
          <c:tx>
            <c:rich>
              <a:bodyPr rot="-5400000" vert="horz"/>
              <a:lstStyle/>
              <a:p>
                <a:pPr>
                  <a:defRPr sz="1200">
                    <a:solidFill>
                      <a:srgbClr val="FFCC00"/>
                    </a:solidFill>
                  </a:defRPr>
                </a:pPr>
                <a:r>
                  <a:rPr lang="en-US" sz="1200">
                    <a:solidFill>
                      <a:srgbClr val="FFCC00"/>
                    </a:solidFill>
                  </a:rPr>
                  <a:t>Gold Ounces (000's)</a:t>
                </a:r>
              </a:p>
            </c:rich>
          </c:tx>
          <c:layout>
            <c:manualLayout>
              <c:xMode val="edge"/>
              <c:yMode val="edge"/>
              <c:x val="1.7886443264359397E-2"/>
              <c:y val="0.19355093694683514"/>
            </c:manualLayout>
          </c:layout>
          <c:overlay val="0"/>
        </c:title>
        <c:numFmt formatCode="General" sourceLinked="1"/>
        <c:majorTickMark val="out"/>
        <c:minorTickMark val="none"/>
        <c:tickLblPos val="nextTo"/>
        <c:txPr>
          <a:bodyPr/>
          <a:lstStyle/>
          <a:p>
            <a:pPr>
              <a:defRPr sz="1100" b="0" baseline="0">
                <a:solidFill>
                  <a:srgbClr val="FFCC00"/>
                </a:solidFill>
              </a:defRPr>
            </a:pPr>
            <a:endParaRPr lang="en-US"/>
          </a:p>
        </c:txPr>
        <c:crossAx val="323268664"/>
        <c:crosses val="autoZero"/>
        <c:crossBetween val="between"/>
      </c:valAx>
      <c:catAx>
        <c:axId val="323266312"/>
        <c:scaling>
          <c:orientation val="minMax"/>
        </c:scaling>
        <c:delete val="1"/>
        <c:axPos val="b"/>
        <c:numFmt formatCode="General" sourceLinked="1"/>
        <c:majorTickMark val="out"/>
        <c:minorTickMark val="none"/>
        <c:tickLblPos val="nextTo"/>
        <c:crossAx val="323269056"/>
        <c:crosses val="autoZero"/>
        <c:auto val="1"/>
        <c:lblAlgn val="ctr"/>
        <c:lblOffset val="100"/>
        <c:noMultiLvlLbl val="0"/>
      </c:catAx>
      <c:valAx>
        <c:axId val="323269056"/>
        <c:scaling>
          <c:orientation val="minMax"/>
        </c:scaling>
        <c:delete val="0"/>
        <c:axPos val="r"/>
        <c:title>
          <c:tx>
            <c:rich>
              <a:bodyPr rot="-5400000" vert="horz"/>
              <a:lstStyle/>
              <a:p>
                <a:pPr>
                  <a:defRPr sz="1200">
                    <a:solidFill>
                      <a:schemeClr val="accent6"/>
                    </a:solidFill>
                  </a:defRPr>
                </a:pPr>
                <a:r>
                  <a:rPr lang="en-AU" sz="1200">
                    <a:solidFill>
                      <a:schemeClr val="accent6"/>
                    </a:solidFill>
                  </a:rPr>
                  <a:t>US$/ounce</a:t>
                </a:r>
              </a:p>
            </c:rich>
          </c:tx>
          <c:layout>
            <c:manualLayout>
              <c:xMode val="edge"/>
              <c:yMode val="edge"/>
              <c:x val="0.9113135289906944"/>
              <c:y val="0.24784981460193437"/>
            </c:manualLayout>
          </c:layout>
          <c:overlay val="0"/>
        </c:title>
        <c:numFmt formatCode="#,##0" sourceLinked="1"/>
        <c:majorTickMark val="out"/>
        <c:minorTickMark val="none"/>
        <c:tickLblPos val="nextTo"/>
        <c:txPr>
          <a:bodyPr/>
          <a:lstStyle/>
          <a:p>
            <a:pPr>
              <a:defRPr sz="1100" b="0" baseline="0">
                <a:solidFill>
                  <a:schemeClr val="accent6"/>
                </a:solidFill>
              </a:defRPr>
            </a:pPr>
            <a:endParaRPr lang="en-US"/>
          </a:p>
        </c:txPr>
        <c:crossAx val="323266312"/>
        <c:crosses val="max"/>
        <c:crossBetween val="between"/>
      </c:valAx>
    </c:plotArea>
    <c:legend>
      <c:legendPos val="b"/>
      <c:layout>
        <c:manualLayout>
          <c:xMode val="edge"/>
          <c:yMode val="edge"/>
          <c:x val="1.8133381054640896E-2"/>
          <c:y val="0.83168967216090306"/>
          <c:w val="0.93885087091386299"/>
          <c:h val="0.14152484506944862"/>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a:t>
            </a:r>
            <a:r>
              <a:rPr lang="en-US" sz="1400"/>
              <a:t>- NPV </a:t>
            </a:r>
          </a:p>
        </c:rich>
      </c:tx>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'Base Case'!$A$263</c:f>
              <c:strCache>
                <c:ptCount val="1"/>
                <c:pt idx="0">
                  <c:v>Discounted Cashflow - Base Case</c:v>
                </c:pt>
              </c:strCache>
            </c:strRef>
          </c:tx>
          <c:spPr>
            <a:solidFill>
              <a:schemeClr val="accent6">
                <a:lumMod val="40000"/>
                <a:lumOff val="60000"/>
              </a:schemeClr>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Case'!$D$263:$M$263</c:f>
              <c:numCache>
                <c:formatCode>#,##0_);[Red]\(#,##0\)</c:formatCode>
                <c:ptCount val="10"/>
                <c:pt idx="0">
                  <c:v>-4330.1270189221923</c:v>
                </c:pt>
                <c:pt idx="1">
                  <c:v>-27620.151766787647</c:v>
                </c:pt>
                <c:pt idx="2">
                  <c:v>-25153.477519992688</c:v>
                </c:pt>
                <c:pt idx="3">
                  <c:v>-1036.0458346442144</c:v>
                </c:pt>
                <c:pt idx="4">
                  <c:v>22595.070282190103</c:v>
                </c:pt>
                <c:pt idx="5">
                  <c:v>21237.854266465125</c:v>
                </c:pt>
                <c:pt idx="6">
                  <c:v>17797.602319084432</c:v>
                </c:pt>
                <c:pt idx="7">
                  <c:v>15634.080995869183</c:v>
                </c:pt>
                <c:pt idx="8">
                  <c:v>8173.4477587036254</c:v>
                </c:pt>
                <c:pt idx="9">
                  <c:v>-19254.591722345336</c:v>
                </c:pt>
              </c:numCache>
            </c:numRef>
          </c:val>
          <c:extLst>
            <c:ext xmlns:c16="http://schemas.microsoft.com/office/drawing/2014/chart" uri="{C3380CC4-5D6E-409C-BE32-E72D297353CC}">
              <c16:uniqueId val="{00000000-B8DE-4C4D-B60E-A8868EF7534A}"/>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'Base Case'!$A$264</c:f>
              <c:strCache>
                <c:ptCount val="1"/>
                <c:pt idx="0">
                  <c:v>Cumulative NPV - Base Case</c:v>
                </c:pt>
              </c:strCache>
            </c:strRef>
          </c:tx>
          <c:spPr>
            <a:ln w="44450">
              <a:solidFill>
                <a:schemeClr val="accent6">
                  <a:lumMod val="75000"/>
                </a:schemeClr>
              </a:solidFill>
            </a:ln>
          </c:spPr>
          <c:marker>
            <c:symbol val="none"/>
          </c:marker>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Case'!$D$264:$M$264</c:f>
              <c:numCache>
                <c:formatCode>#,##0_);[Red]\(#,##0\)</c:formatCode>
                <c:ptCount val="10"/>
                <c:pt idx="0">
                  <c:v>-4330.1270189221923</c:v>
                </c:pt>
                <c:pt idx="1">
                  <c:v>-31950.278785709837</c:v>
                </c:pt>
                <c:pt idx="2">
                  <c:v>-57103.756305702525</c:v>
                </c:pt>
                <c:pt idx="3">
                  <c:v>-58139.802140346743</c:v>
                </c:pt>
                <c:pt idx="4">
                  <c:v>-35544.731858156636</c:v>
                </c:pt>
                <c:pt idx="5">
                  <c:v>-14306.877591691511</c:v>
                </c:pt>
                <c:pt idx="6">
                  <c:v>3490.7247273929206</c:v>
                </c:pt>
                <c:pt idx="7">
                  <c:v>19124.805723262103</c:v>
                </c:pt>
                <c:pt idx="8">
                  <c:v>27298.25348196573</c:v>
                </c:pt>
                <c:pt idx="9">
                  <c:v>8043.6617596203942</c:v>
                </c:pt>
              </c:numCache>
            </c:numRef>
          </c:val>
          <c:smooth val="0"/>
          <c:extLst>
            <c:ext xmlns:c16="http://schemas.microsoft.com/office/drawing/2014/chart" uri="{C3380CC4-5D6E-409C-BE32-E72D297353CC}">
              <c16:uniqueId val="{00000001-B8DE-4C4D-B60E-A8868EF7534A}"/>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1.3199698076956068E-2"/>
              <c:y val="0.3876921860671030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a:t>
            </a:r>
            <a:r>
              <a:rPr lang="en-US" sz="1400"/>
              <a:t>- Opex</a:t>
            </a:r>
          </a:p>
        </c:rich>
      </c:tx>
      <c:overlay val="1"/>
    </c:title>
    <c:autoTitleDeleted val="0"/>
    <c:plotArea>
      <c:layout>
        <c:manualLayout>
          <c:layoutTarget val="inner"/>
          <c:xMode val="edge"/>
          <c:yMode val="edge"/>
          <c:x val="0.12362077215108147"/>
          <c:y val="0.1766009617925276"/>
          <c:w val="0.6019015544558739"/>
          <c:h val="0.53386460920572842"/>
        </c:manualLayout>
      </c:layout>
      <c:barChart>
        <c:barDir val="col"/>
        <c:grouping val="stacked"/>
        <c:varyColors val="0"/>
        <c:ser>
          <c:idx val="0"/>
          <c:order val="0"/>
          <c:tx>
            <c:strRef>
              <c:f>'Base Case'!$A$158</c:f>
              <c:strCache>
                <c:ptCount val="1"/>
                <c:pt idx="0">
                  <c:v>mining opex</c:v>
                </c:pt>
              </c:strCache>
            </c:strRef>
          </c:tx>
          <c:spPr>
            <a:solidFill>
              <a:srgbClr val="CC9900"/>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Case'!$D$158:$M$158</c:f>
              <c:numCache>
                <c:formatCode>#,##0</c:formatCode>
                <c:ptCount val="10"/>
                <c:pt idx="0">
                  <c:v>0</c:v>
                </c:pt>
                <c:pt idx="1">
                  <c:v>0</c:v>
                </c:pt>
                <c:pt idx="2">
                  <c:v>3800</c:v>
                </c:pt>
                <c:pt idx="3">
                  <c:v>9300</c:v>
                </c:pt>
                <c:pt idx="4">
                  <c:v>10600</c:v>
                </c:pt>
                <c:pt idx="5">
                  <c:v>10900</c:v>
                </c:pt>
                <c:pt idx="6">
                  <c:v>9600</c:v>
                </c:pt>
                <c:pt idx="7">
                  <c:v>9620</c:v>
                </c:pt>
                <c:pt idx="8">
                  <c:v>6750</c:v>
                </c:pt>
                <c:pt idx="9">
                  <c:v>0</c:v>
                </c:pt>
              </c:numCache>
            </c:numRef>
          </c:val>
          <c:extLst>
            <c:ext xmlns:c16="http://schemas.microsoft.com/office/drawing/2014/chart" uri="{C3380CC4-5D6E-409C-BE32-E72D297353CC}">
              <c16:uniqueId val="{00000000-A2D7-4BB2-831C-1555F70A8C9C}"/>
            </c:ext>
          </c:extLst>
        </c:ser>
        <c:ser>
          <c:idx val="2"/>
          <c:order val="1"/>
          <c:tx>
            <c:strRef>
              <c:f>'Base Case'!$A$174</c:f>
              <c:strCache>
                <c:ptCount val="1"/>
                <c:pt idx="0">
                  <c:v>processing opex</c:v>
                </c:pt>
              </c:strCache>
            </c:strRef>
          </c:tx>
          <c:spPr>
            <a:solidFill>
              <a:srgbClr val="FFC000"/>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Case'!$D$174:$M$174</c:f>
              <c:numCache>
                <c:formatCode>#,##0</c:formatCode>
                <c:ptCount val="10"/>
                <c:pt idx="0">
                  <c:v>0</c:v>
                </c:pt>
                <c:pt idx="1">
                  <c:v>0</c:v>
                </c:pt>
                <c:pt idx="2">
                  <c:v>0</c:v>
                </c:pt>
                <c:pt idx="3">
                  <c:v>16537.234726688104</c:v>
                </c:pt>
                <c:pt idx="4">
                  <c:v>23981.86495176849</c:v>
                </c:pt>
                <c:pt idx="5">
                  <c:v>24088.360128617365</c:v>
                </c:pt>
                <c:pt idx="6">
                  <c:v>23768.874598070739</c:v>
                </c:pt>
                <c:pt idx="7">
                  <c:v>23768.874598070739</c:v>
                </c:pt>
                <c:pt idx="8">
                  <c:v>13118.199356913183</c:v>
                </c:pt>
                <c:pt idx="9">
                  <c:v>0</c:v>
                </c:pt>
              </c:numCache>
            </c:numRef>
          </c:val>
          <c:extLst>
            <c:ext xmlns:c16="http://schemas.microsoft.com/office/drawing/2014/chart" uri="{C3380CC4-5D6E-409C-BE32-E72D297353CC}">
              <c16:uniqueId val="{00000001-A2D7-4BB2-831C-1555F70A8C9C}"/>
            </c:ext>
          </c:extLst>
        </c:ser>
        <c:ser>
          <c:idx val="3"/>
          <c:order val="2"/>
          <c:tx>
            <c:strRef>
              <c:f>'Base Case'!$A$185</c:f>
              <c:strCache>
                <c:ptCount val="1"/>
                <c:pt idx="0">
                  <c:v>General &amp; Administration</c:v>
                </c:pt>
              </c:strCache>
            </c:strRef>
          </c:tx>
          <c:spPr>
            <a:solidFill>
              <a:srgbClr val="FFFF00"/>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Case'!$D$185:$M$185</c:f>
              <c:numCache>
                <c:formatCode>#,##0</c:formatCode>
                <c:ptCount val="10"/>
                <c:pt idx="0">
                  <c:v>0</c:v>
                </c:pt>
                <c:pt idx="1">
                  <c:v>0</c:v>
                </c:pt>
                <c:pt idx="2">
                  <c:v>0</c:v>
                </c:pt>
                <c:pt idx="3">
                  <c:v>9800</c:v>
                </c:pt>
                <c:pt idx="4">
                  <c:v>10200</c:v>
                </c:pt>
                <c:pt idx="5">
                  <c:v>10200</c:v>
                </c:pt>
                <c:pt idx="6">
                  <c:v>10200</c:v>
                </c:pt>
                <c:pt idx="7">
                  <c:v>10200</c:v>
                </c:pt>
                <c:pt idx="8">
                  <c:v>9600</c:v>
                </c:pt>
                <c:pt idx="9">
                  <c:v>0</c:v>
                </c:pt>
              </c:numCache>
            </c:numRef>
          </c:val>
          <c:extLst>
            <c:ext xmlns:c16="http://schemas.microsoft.com/office/drawing/2014/chart" uri="{C3380CC4-5D6E-409C-BE32-E72D297353CC}">
              <c16:uniqueId val="{00000002-A2D7-4BB2-831C-1555F70A8C9C}"/>
            </c:ext>
          </c:extLst>
        </c:ser>
        <c:ser>
          <c:idx val="1"/>
          <c:order val="3"/>
          <c:tx>
            <c:strRef>
              <c:f>'Base Case'!$A$192</c:f>
              <c:strCache>
                <c:ptCount val="1"/>
                <c:pt idx="0">
                  <c:v>Private Royalties</c:v>
                </c:pt>
              </c:strCache>
            </c:strRef>
          </c:tx>
          <c:spPr>
            <a:solidFill>
              <a:schemeClr val="accent6">
                <a:lumMod val="50000"/>
              </a:schemeClr>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Case'!$D$192:$M$192</c:f>
              <c:numCache>
                <c:formatCode>#,##0</c:formatCode>
                <c:ptCount val="10"/>
                <c:pt idx="0">
                  <c:v>0</c:v>
                </c:pt>
                <c:pt idx="1">
                  <c:v>0</c:v>
                </c:pt>
                <c:pt idx="2">
                  <c:v>0</c:v>
                </c:pt>
                <c:pt idx="3">
                  <c:v>531.34353643537452</c:v>
                </c:pt>
                <c:pt idx="4">
                  <c:v>1134.7873374918261</c:v>
                </c:pt>
                <c:pt idx="5">
                  <c:v>1274.4965931306947</c:v>
                </c:pt>
                <c:pt idx="6">
                  <c:v>1176.0362066687221</c:v>
                </c:pt>
                <c:pt idx="7">
                  <c:v>1154.7497958589004</c:v>
                </c:pt>
                <c:pt idx="8">
                  <c:v>671.67334713473997</c:v>
                </c:pt>
                <c:pt idx="9">
                  <c:v>0</c:v>
                </c:pt>
              </c:numCache>
            </c:numRef>
          </c:val>
          <c:extLst>
            <c:ext xmlns:c16="http://schemas.microsoft.com/office/drawing/2014/chart" uri="{C3380CC4-5D6E-409C-BE32-E72D297353CC}">
              <c16:uniqueId val="{00000003-A2D7-4BB2-831C-1555F70A8C9C}"/>
            </c:ext>
          </c:extLst>
        </c:ser>
        <c:dLbls>
          <c:showLegendKey val="0"/>
          <c:showVal val="0"/>
          <c:showCatName val="0"/>
          <c:showSerName val="0"/>
          <c:showPercent val="0"/>
          <c:showBubbleSize val="0"/>
        </c:dLbls>
        <c:gapWidth val="0"/>
        <c:overlap val="100"/>
        <c:axId val="320192040"/>
        <c:axId val="320194784"/>
      </c:barChart>
      <c:catAx>
        <c:axId val="320192040"/>
        <c:scaling>
          <c:orientation val="minMax"/>
        </c:scaling>
        <c:delete val="0"/>
        <c:axPos val="b"/>
        <c:numFmt formatCode="General" sourceLinked="1"/>
        <c:majorTickMark val="out"/>
        <c:minorTickMark val="none"/>
        <c:tickLblPos val="nextTo"/>
        <c:txPr>
          <a:bodyPr rot="-5400000" vert="horz"/>
          <a:lstStyle/>
          <a:p>
            <a:pPr algn="ctr">
              <a:defRPr lang="en-US" sz="1000" b="0" i="0" u="none" strike="noStrike" kern="1200" baseline="0">
                <a:solidFill>
                  <a:schemeClr val="tx1"/>
                </a:solidFill>
                <a:latin typeface="+mn-lt"/>
                <a:ea typeface="+mn-ea"/>
                <a:cs typeface="+mn-cs"/>
              </a:defRPr>
            </a:pPr>
            <a:endParaRPr lang="en-US"/>
          </a:p>
        </c:txPr>
        <c:crossAx val="320194784"/>
        <c:crosses val="autoZero"/>
        <c:auto val="1"/>
        <c:lblAlgn val="ctr"/>
        <c:lblOffset val="100"/>
        <c:noMultiLvlLbl val="0"/>
      </c:catAx>
      <c:valAx>
        <c:axId val="320194784"/>
        <c:scaling>
          <c:orientation val="minMax"/>
        </c:scaling>
        <c:delete val="0"/>
        <c:axPos val="l"/>
        <c:majorGridlines/>
        <c:title>
          <c:tx>
            <c:rich>
              <a:bodyPr rot="-5400000" vert="horz"/>
              <a:lstStyle/>
              <a:p>
                <a:pPr>
                  <a:defRPr sz="1200" b="1"/>
                </a:pPr>
                <a:r>
                  <a:rPr lang="en-US" sz="1200" b="1"/>
                  <a:t>A$M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2040"/>
        <c:crosses val="autoZero"/>
        <c:crossBetween val="between"/>
        <c:dispUnits>
          <c:builtInUnit val="thousands"/>
        </c:dispUnits>
      </c:valAx>
    </c:plotArea>
    <c:legend>
      <c:legendPos val="r"/>
      <c:layout>
        <c:manualLayout>
          <c:xMode val="edge"/>
          <c:yMode val="edge"/>
          <c:x val="0.71497453134563715"/>
          <c:y val="0.17835001780556325"/>
          <c:w val="0.28117157329856063"/>
          <c:h val="0.71863780846489678"/>
        </c:manualLayout>
      </c:layout>
      <c:overlay val="0"/>
      <c:txPr>
        <a:bodyPr/>
        <a:lstStyle/>
        <a:p>
          <a:pPr>
            <a:defRPr sz="100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 </a:t>
            </a:r>
            <a:r>
              <a:rPr lang="en-US" sz="1400"/>
              <a:t>Capex</a:t>
            </a:r>
          </a:p>
        </c:rich>
      </c:tx>
      <c:layout>
        <c:manualLayout>
          <c:xMode val="edge"/>
          <c:yMode val="edge"/>
          <c:x val="0.27005378558449422"/>
          <c:y val="5.4794520547945202E-2"/>
        </c:manualLayout>
      </c:layout>
      <c:overlay val="1"/>
    </c:title>
    <c:autoTitleDeleted val="0"/>
    <c:plotArea>
      <c:layout>
        <c:manualLayout>
          <c:layoutTarget val="inner"/>
          <c:xMode val="edge"/>
          <c:yMode val="edge"/>
          <c:x val="0.18897995253745864"/>
          <c:y val="0.16988953377835198"/>
          <c:w val="0.76558945894688757"/>
          <c:h val="0.52051504692050476"/>
        </c:manualLayout>
      </c:layout>
      <c:barChart>
        <c:barDir val="col"/>
        <c:grouping val="stacked"/>
        <c:varyColors val="0"/>
        <c:ser>
          <c:idx val="0"/>
          <c:order val="0"/>
          <c:tx>
            <c:strRef>
              <c:f>'Base Case'!$A$102</c:f>
              <c:strCache>
                <c:ptCount val="1"/>
                <c:pt idx="0">
                  <c:v>Initial capex</c:v>
                </c:pt>
              </c:strCache>
            </c:strRef>
          </c:tx>
          <c:spPr>
            <a:solidFill>
              <a:srgbClr val="0070C0"/>
            </a:solidFill>
            <a:ln>
              <a:noFill/>
            </a:ln>
          </c:spPr>
          <c:invertIfNegative val="0"/>
          <c:cat>
            <c:numRef>
              <c:f>'Base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Case'!$D$102:$M$102</c:f>
              <c:numCache>
                <c:formatCode>#,##0</c:formatCode>
                <c:ptCount val="10"/>
                <c:pt idx="0">
                  <c:v>4500</c:v>
                </c:pt>
                <c:pt idx="1">
                  <c:v>31000</c:v>
                </c:pt>
                <c:pt idx="2">
                  <c:v>26500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C98-48B2-85DF-C8953CEE94A6}"/>
            </c:ext>
          </c:extLst>
        </c:ser>
        <c:ser>
          <c:idx val="2"/>
          <c:order val="1"/>
          <c:tx>
            <c:strRef>
              <c:f>'Base Case'!$A$111</c:f>
              <c:strCache>
                <c:ptCount val="1"/>
                <c:pt idx="0">
                  <c:v>ongoing capex</c:v>
                </c:pt>
              </c:strCache>
            </c:strRef>
          </c:tx>
          <c:spPr>
            <a:solidFill>
              <a:schemeClr val="accent5">
                <a:lumMod val="40000"/>
                <a:lumOff val="60000"/>
              </a:schemeClr>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Case'!$D$111:$M$111</c:f>
              <c:numCache>
                <c:formatCode>#,##0</c:formatCode>
                <c:ptCount val="10"/>
                <c:pt idx="0">
                  <c:v>0</c:v>
                </c:pt>
                <c:pt idx="1">
                  <c:v>0</c:v>
                </c:pt>
                <c:pt idx="2">
                  <c:v>0</c:v>
                </c:pt>
                <c:pt idx="3">
                  <c:v>6200</c:v>
                </c:pt>
                <c:pt idx="4">
                  <c:v>6200</c:v>
                </c:pt>
                <c:pt idx="5">
                  <c:v>7700</c:v>
                </c:pt>
                <c:pt idx="6">
                  <c:v>6200</c:v>
                </c:pt>
                <c:pt idx="7">
                  <c:v>6200</c:v>
                </c:pt>
                <c:pt idx="8">
                  <c:v>6200</c:v>
                </c:pt>
                <c:pt idx="9">
                  <c:v>0</c:v>
                </c:pt>
              </c:numCache>
            </c:numRef>
          </c:val>
          <c:extLst>
            <c:ext xmlns:c16="http://schemas.microsoft.com/office/drawing/2014/chart" uri="{C3380CC4-5D6E-409C-BE32-E72D297353CC}">
              <c16:uniqueId val="{00000001-0C98-48B2-85DF-C8953CEE94A6}"/>
            </c:ext>
          </c:extLst>
        </c:ser>
        <c:dLbls>
          <c:showLegendKey val="0"/>
          <c:showVal val="0"/>
          <c:showCatName val="0"/>
          <c:showSerName val="0"/>
          <c:showPercent val="0"/>
          <c:showBubbleSize val="0"/>
        </c:dLbls>
        <c:gapWidth val="0"/>
        <c:overlap val="100"/>
        <c:axId val="320193216"/>
        <c:axId val="320195176"/>
      </c:barChart>
      <c:catAx>
        <c:axId val="320193216"/>
        <c:scaling>
          <c:orientation val="minMax"/>
        </c:scaling>
        <c:delete val="0"/>
        <c:axPos val="b"/>
        <c:numFmt formatCode="General" sourceLinked="1"/>
        <c:majorTickMark val="out"/>
        <c:minorTickMark val="none"/>
        <c:tickLblPos val="nextTo"/>
        <c:txPr>
          <a:bodyPr/>
          <a:lstStyle/>
          <a:p>
            <a:pPr>
              <a:defRPr sz="1000" b="0"/>
            </a:pPr>
            <a:endParaRPr lang="en-US"/>
          </a:p>
        </c:txPr>
        <c:crossAx val="320195176"/>
        <c:crosses val="autoZero"/>
        <c:auto val="1"/>
        <c:lblAlgn val="ctr"/>
        <c:lblOffset val="100"/>
        <c:noMultiLvlLbl val="0"/>
      </c:catAx>
      <c:valAx>
        <c:axId val="320195176"/>
        <c:scaling>
          <c:orientation val="minMax"/>
        </c:scaling>
        <c:delete val="0"/>
        <c:axPos val="l"/>
        <c:majorGridlines/>
        <c:title>
          <c:tx>
            <c:rich>
              <a:bodyPr rot="-5400000" vert="horz"/>
              <a:lstStyle/>
              <a:p>
                <a:pPr>
                  <a:defRPr sz="1200" b="1"/>
                </a:pPr>
                <a:r>
                  <a:rPr lang="en-US" sz="1200" b="1"/>
                  <a:t>A$M</a:t>
                </a:r>
              </a:p>
            </c:rich>
          </c:tx>
          <c:layout>
            <c:manualLayout>
              <c:xMode val="edge"/>
              <c:yMode val="edge"/>
              <c:x val="6.8426408237431862E-3"/>
              <c:y val="0.31347643188437069"/>
            </c:manualLayout>
          </c:layout>
          <c:overlay val="0"/>
        </c:title>
        <c:numFmt formatCode="#,##0" sourceLinked="1"/>
        <c:majorTickMark val="out"/>
        <c:minorTickMark val="none"/>
        <c:tickLblPos val="nextTo"/>
        <c:txPr>
          <a:bodyPr/>
          <a:lstStyle/>
          <a:p>
            <a:pPr>
              <a:defRPr sz="1000" b="0"/>
            </a:pPr>
            <a:endParaRPr lang="en-US"/>
          </a:p>
        </c:txPr>
        <c:crossAx val="320193216"/>
        <c:crosses val="autoZero"/>
        <c:crossBetween val="between"/>
        <c:dispUnits>
          <c:builtInUnit val="thousands"/>
        </c:dispUnits>
      </c:valAx>
    </c:plotArea>
    <c:legend>
      <c:legendPos val="b"/>
      <c:layout>
        <c:manualLayout>
          <c:xMode val="edge"/>
          <c:yMode val="edge"/>
          <c:x val="0.12138325665411917"/>
          <c:y val="0.86503317854498962"/>
          <c:w val="0.82040270940158455"/>
          <c:h val="0.11445400094218992"/>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 </a:t>
            </a:r>
            <a:r>
              <a:rPr lang="en-US" sz="1400"/>
              <a:t>Taxes</a:t>
            </a:r>
          </a:p>
        </c:rich>
      </c:tx>
      <c:overlay val="1"/>
    </c:title>
    <c:autoTitleDeleted val="0"/>
    <c:plotArea>
      <c:layout>
        <c:manualLayout>
          <c:layoutTarget val="inner"/>
          <c:xMode val="edge"/>
          <c:yMode val="edge"/>
          <c:x val="0.14472902020900982"/>
          <c:y val="0.16988953377835198"/>
          <c:w val="0.74435965466787291"/>
          <c:h val="0.54050411630235029"/>
        </c:manualLayout>
      </c:layout>
      <c:barChart>
        <c:barDir val="col"/>
        <c:grouping val="stacked"/>
        <c:varyColors val="0"/>
        <c:ser>
          <c:idx val="0"/>
          <c:order val="0"/>
          <c:tx>
            <c:strRef>
              <c:f>'Base Case'!$A$219</c:f>
              <c:strCache>
                <c:ptCount val="1"/>
                <c:pt idx="0">
                  <c:v>State Royalty</c:v>
                </c:pt>
              </c:strCache>
            </c:strRef>
          </c:tx>
          <c:spPr>
            <a:solidFill>
              <a:schemeClr val="accent4">
                <a:lumMod val="75000"/>
              </a:schemeClr>
            </a:solidFill>
            <a:ln>
              <a:noFill/>
            </a:ln>
          </c:spPr>
          <c:invertIfNegative val="0"/>
          <c:cat>
            <c:numRef>
              <c:f>'Base Case'!$D$276:$M$276</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Case'!$D$219:$M$219</c:f>
              <c:numCache>
                <c:formatCode>#,##0</c:formatCode>
                <c:ptCount val="10"/>
                <c:pt idx="0">
                  <c:v>0</c:v>
                </c:pt>
                <c:pt idx="1">
                  <c:v>0</c:v>
                </c:pt>
                <c:pt idx="2">
                  <c:v>0</c:v>
                </c:pt>
                <c:pt idx="3">
                  <c:v>1275.2244874448988</c:v>
                </c:pt>
                <c:pt idx="4">
                  <c:v>2723.4896099803823</c:v>
                </c:pt>
                <c:pt idx="5">
                  <c:v>3058.7918235136667</c:v>
                </c:pt>
                <c:pt idx="6">
                  <c:v>2822.486896004933</c:v>
                </c:pt>
                <c:pt idx="7">
                  <c:v>2771.3995100613606</c:v>
                </c:pt>
                <c:pt idx="8">
                  <c:v>1612.0160331233758</c:v>
                </c:pt>
                <c:pt idx="9">
                  <c:v>0</c:v>
                </c:pt>
              </c:numCache>
            </c:numRef>
          </c:val>
          <c:extLst>
            <c:ext xmlns:c16="http://schemas.microsoft.com/office/drawing/2014/chart" uri="{C3380CC4-5D6E-409C-BE32-E72D297353CC}">
              <c16:uniqueId val="{00000000-BA15-4D87-AED3-8B8C186AED80}"/>
            </c:ext>
          </c:extLst>
        </c:ser>
        <c:ser>
          <c:idx val="2"/>
          <c:order val="1"/>
          <c:tx>
            <c:strRef>
              <c:f>'Base Case'!$A$241</c:f>
              <c:strCache>
                <c:ptCount val="1"/>
                <c:pt idx="0">
                  <c:v>Income tax payment</c:v>
                </c:pt>
              </c:strCache>
            </c:strRef>
          </c:tx>
          <c:spPr>
            <a:solidFill>
              <a:schemeClr val="accent4">
                <a:lumMod val="40000"/>
                <a:lumOff val="60000"/>
              </a:schemeClr>
            </a:solidFill>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Case'!$D$241:$M$241</c:f>
              <c:numCache>
                <c:formatCode>#,##0</c:formatCode>
                <c:ptCount val="10"/>
                <c:pt idx="0">
                  <c:v>0</c:v>
                </c:pt>
                <c:pt idx="1">
                  <c:v>0</c:v>
                </c:pt>
                <c:pt idx="2">
                  <c:v>0</c:v>
                </c:pt>
                <c:pt idx="3">
                  <c:v>0</c:v>
                </c:pt>
                <c:pt idx="4">
                  <c:v>3736.5428536463933</c:v>
                </c:pt>
                <c:pt idx="5">
                  <c:v>12048.501336792544</c:v>
                </c:pt>
                <c:pt idx="6">
                  <c:v>10784.971462498359</c:v>
                </c:pt>
                <c:pt idx="7">
                  <c:v>10653.748085793033</c:v>
                </c:pt>
                <c:pt idx="8">
                  <c:v>0</c:v>
                </c:pt>
                <c:pt idx="9">
                  <c:v>0</c:v>
                </c:pt>
              </c:numCache>
            </c:numRef>
          </c:val>
          <c:extLst>
            <c:ext xmlns:c16="http://schemas.microsoft.com/office/drawing/2014/chart" uri="{C3380CC4-5D6E-409C-BE32-E72D297353CC}">
              <c16:uniqueId val="{00000001-BA15-4D87-AED3-8B8C186AED80}"/>
            </c:ext>
          </c:extLst>
        </c:ser>
        <c:dLbls>
          <c:showLegendKey val="0"/>
          <c:showVal val="0"/>
          <c:showCatName val="0"/>
          <c:showSerName val="0"/>
          <c:showPercent val="0"/>
          <c:showBubbleSize val="0"/>
        </c:dLbls>
        <c:gapWidth val="0"/>
        <c:overlap val="100"/>
        <c:axId val="320195568"/>
        <c:axId val="320189688"/>
      </c:barChart>
      <c:catAx>
        <c:axId val="320195568"/>
        <c:scaling>
          <c:orientation val="minMax"/>
        </c:scaling>
        <c:delete val="0"/>
        <c:axPos val="b"/>
        <c:numFmt formatCode="General" sourceLinked="1"/>
        <c:majorTickMark val="out"/>
        <c:minorTickMark val="none"/>
        <c:tickLblPos val="nextTo"/>
        <c:txPr>
          <a:bodyPr/>
          <a:lstStyle/>
          <a:p>
            <a:pPr>
              <a:defRPr sz="1000" b="0"/>
            </a:pPr>
            <a:endParaRPr lang="en-US"/>
          </a:p>
        </c:txPr>
        <c:crossAx val="320189688"/>
        <c:crosses val="autoZero"/>
        <c:auto val="1"/>
        <c:lblAlgn val="ctr"/>
        <c:lblOffset val="100"/>
        <c:noMultiLvlLbl val="0"/>
      </c:catAx>
      <c:valAx>
        <c:axId val="320189688"/>
        <c:scaling>
          <c:orientation val="minMax"/>
        </c:scaling>
        <c:delete val="0"/>
        <c:axPos val="l"/>
        <c:majorGridlines/>
        <c:title>
          <c:tx>
            <c:rich>
              <a:bodyPr rot="-5400000" vert="horz"/>
              <a:lstStyle/>
              <a:p>
                <a:pPr>
                  <a:defRPr sz="1200" b="1"/>
                </a:pPr>
                <a:r>
                  <a:rPr lang="en-US" sz="1200" b="1"/>
                  <a:t>$M</a:t>
                </a:r>
              </a:p>
            </c:rich>
          </c:tx>
          <c:layout>
            <c:manualLayout>
              <c:xMode val="edge"/>
              <c:yMode val="edge"/>
              <c:x val="1.2389719872376546E-2"/>
              <c:y val="0.38860542432195971"/>
            </c:manualLayout>
          </c:layout>
          <c:overlay val="0"/>
        </c:title>
        <c:numFmt formatCode="#,##0" sourceLinked="1"/>
        <c:majorTickMark val="out"/>
        <c:minorTickMark val="none"/>
        <c:tickLblPos val="nextTo"/>
        <c:txPr>
          <a:bodyPr/>
          <a:lstStyle/>
          <a:p>
            <a:pPr>
              <a:defRPr sz="1000" b="0"/>
            </a:pPr>
            <a:endParaRPr lang="en-US"/>
          </a:p>
        </c:txPr>
        <c:crossAx val="320195568"/>
        <c:crosses val="autoZero"/>
        <c:crossBetween val="between"/>
        <c:dispUnits>
          <c:builtInUnit val="thousands"/>
        </c:dispUnits>
      </c:valAx>
    </c:plotArea>
    <c:legend>
      <c:legendPos val="b"/>
      <c:layout>
        <c:manualLayout>
          <c:xMode val="edge"/>
          <c:yMode val="edge"/>
          <c:x val="0.14909687868942031"/>
          <c:y val="0.89922111909924307"/>
          <c:w val="0.77763203856023566"/>
          <c:h val="0.10077888090075693"/>
        </c:manualLayout>
      </c:layout>
      <c:overlay val="0"/>
      <c:txPr>
        <a:bodyPr/>
        <a:lstStyle/>
        <a:p>
          <a:pPr>
            <a:defRPr sz="100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Base Case - </a:t>
            </a:r>
            <a:r>
              <a:rPr lang="en-US" sz="1600"/>
              <a:t>Cash</a:t>
            </a:r>
            <a:endParaRPr lang="en-US" sz="1400"/>
          </a:p>
        </c:rich>
      </c:tx>
      <c:overlay val="0"/>
    </c:title>
    <c:autoTitleDeleted val="0"/>
    <c:plotArea>
      <c:layout>
        <c:manualLayout>
          <c:layoutTarget val="inner"/>
          <c:xMode val="edge"/>
          <c:yMode val="edge"/>
          <c:x val="0.1211166514208503"/>
          <c:y val="0.18645130730722936"/>
          <c:w val="0.84165685994395512"/>
          <c:h val="0.62789506077118273"/>
        </c:manualLayout>
      </c:layout>
      <c:barChart>
        <c:barDir val="col"/>
        <c:grouping val="stacked"/>
        <c:varyColors val="0"/>
        <c:ser>
          <c:idx val="0"/>
          <c:order val="0"/>
          <c:tx>
            <c:strRef>
              <c:f>'Base Case'!$A$253</c:f>
              <c:strCache>
                <c:ptCount val="1"/>
                <c:pt idx="0">
                  <c:v>Cash Generation - Base Case</c:v>
                </c:pt>
              </c:strCache>
            </c:strRef>
          </c:tx>
          <c:spPr>
            <a:solidFill>
              <a:srgbClr val="33CC33"/>
            </a:solidFill>
            <a:ln>
              <a:noFill/>
            </a:ln>
          </c:spPr>
          <c:invertIfNegative val="0"/>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Case'!$D$253:$M$253</c:f>
              <c:numCache>
                <c:formatCode>#,##0</c:formatCode>
                <c:ptCount val="10"/>
                <c:pt idx="0">
                  <c:v>-4500</c:v>
                </c:pt>
                <c:pt idx="1">
                  <c:v>-31000</c:v>
                </c:pt>
                <c:pt idx="2">
                  <c:v>-30490</c:v>
                </c:pt>
                <c:pt idx="3">
                  <c:v>-1356.3198357384099</c:v>
                </c:pt>
                <c:pt idx="4">
                  <c:v>31946.302246458981</c:v>
                </c:pt>
                <c:pt idx="5">
                  <c:v>32429.577568401292</c:v>
                </c:pt>
                <c:pt idx="6">
                  <c:v>29350.527370255018</c:v>
                </c:pt>
                <c:pt idx="7">
                  <c:v>27845.21167892799</c:v>
                </c:pt>
                <c:pt idx="8">
                  <c:v>15721.979033607895</c:v>
                </c:pt>
                <c:pt idx="9">
                  <c:v>-40000</c:v>
                </c:pt>
              </c:numCache>
            </c:numRef>
          </c:val>
          <c:extLst>
            <c:ext xmlns:c16="http://schemas.microsoft.com/office/drawing/2014/chart" uri="{C3380CC4-5D6E-409C-BE32-E72D297353CC}">
              <c16:uniqueId val="{00000000-D76C-4FA7-98A5-34C174201EAD}"/>
            </c:ext>
          </c:extLst>
        </c:ser>
        <c:dLbls>
          <c:showLegendKey val="0"/>
          <c:showVal val="0"/>
          <c:showCatName val="0"/>
          <c:showSerName val="0"/>
          <c:showPercent val="0"/>
          <c:showBubbleSize val="0"/>
        </c:dLbls>
        <c:gapWidth val="0"/>
        <c:overlap val="100"/>
        <c:axId val="323269448"/>
        <c:axId val="323264744"/>
      </c:barChart>
      <c:lineChart>
        <c:grouping val="standard"/>
        <c:varyColors val="0"/>
        <c:ser>
          <c:idx val="1"/>
          <c:order val="1"/>
          <c:tx>
            <c:strRef>
              <c:f>'Base Case'!$A$254</c:f>
              <c:strCache>
                <c:ptCount val="1"/>
                <c:pt idx="0">
                  <c:v>Cumulative Cash Generation - Base Case</c:v>
                </c:pt>
              </c:strCache>
            </c:strRef>
          </c:tx>
          <c:spPr>
            <a:ln w="31750">
              <a:solidFill>
                <a:srgbClr val="269A26"/>
              </a:solidFill>
            </a:ln>
          </c:spPr>
          <c:marker>
            <c:symbol val="none"/>
          </c:marker>
          <c:cat>
            <c:numRef>
              <c:f>'Base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'Base Case'!$D$254:$M$254</c:f>
              <c:numCache>
                <c:formatCode>#,##0_);[Red]\(#,##0\)</c:formatCode>
                <c:ptCount val="10"/>
                <c:pt idx="0">
                  <c:v>-4500</c:v>
                </c:pt>
                <c:pt idx="1">
                  <c:v>-35500</c:v>
                </c:pt>
                <c:pt idx="2">
                  <c:v>-65990</c:v>
                </c:pt>
                <c:pt idx="3">
                  <c:v>-67346.31983573841</c:v>
                </c:pt>
                <c:pt idx="4">
                  <c:v>-35400.017589279429</c:v>
                </c:pt>
                <c:pt idx="5">
                  <c:v>-2970.4400208781371</c:v>
                </c:pt>
                <c:pt idx="6">
                  <c:v>26380.087349376881</c:v>
                </c:pt>
                <c:pt idx="7">
                  <c:v>54225.299028304871</c:v>
                </c:pt>
                <c:pt idx="8">
                  <c:v>69947.278061912773</c:v>
                </c:pt>
                <c:pt idx="9">
                  <c:v>29947.278061912773</c:v>
                </c:pt>
              </c:numCache>
            </c:numRef>
          </c:val>
          <c:smooth val="0"/>
          <c:extLst>
            <c:ext xmlns:c16="http://schemas.microsoft.com/office/drawing/2014/chart" uri="{C3380CC4-5D6E-409C-BE32-E72D297353CC}">
              <c16:uniqueId val="{00000001-D76C-4FA7-98A5-34C174201EAD}"/>
            </c:ext>
          </c:extLst>
        </c:ser>
        <c:dLbls>
          <c:showLegendKey val="0"/>
          <c:showVal val="0"/>
          <c:showCatName val="0"/>
          <c:showSerName val="0"/>
          <c:showPercent val="0"/>
          <c:showBubbleSize val="0"/>
        </c:dLbls>
        <c:marker val="1"/>
        <c:smooth val="0"/>
        <c:axId val="323269448"/>
        <c:axId val="323264744"/>
      </c:lineChart>
      <c:catAx>
        <c:axId val="323269448"/>
        <c:scaling>
          <c:orientation val="minMax"/>
        </c:scaling>
        <c:delete val="0"/>
        <c:axPos val="b"/>
        <c:numFmt formatCode="General" sourceLinked="1"/>
        <c:majorTickMark val="out"/>
        <c:minorTickMark val="none"/>
        <c:tickLblPos val="nextTo"/>
        <c:txPr>
          <a:bodyPr/>
          <a:lstStyle/>
          <a:p>
            <a:pPr>
              <a:defRPr sz="1000" b="0"/>
            </a:pPr>
            <a:endParaRPr lang="en-US"/>
          </a:p>
        </c:txPr>
        <c:crossAx val="323264744"/>
        <c:crosses val="autoZero"/>
        <c:auto val="1"/>
        <c:lblAlgn val="ctr"/>
        <c:lblOffset val="100"/>
        <c:noMultiLvlLbl val="0"/>
      </c:catAx>
      <c:valAx>
        <c:axId val="323264744"/>
        <c:scaling>
          <c:orientation val="minMax"/>
        </c:scaling>
        <c:delete val="0"/>
        <c:axPos val="l"/>
        <c:majorGridlines/>
        <c:title>
          <c:tx>
            <c:rich>
              <a:bodyPr rot="-5400000" vert="horz"/>
              <a:lstStyle/>
              <a:p>
                <a:pPr>
                  <a:defRPr sz="1200"/>
                </a:pPr>
                <a:r>
                  <a:rPr lang="en-US" sz="1200"/>
                  <a:t>US$ M</a:t>
                </a:r>
              </a:p>
            </c:rich>
          </c:tx>
          <c:layout>
            <c:manualLayout>
              <c:xMode val="edge"/>
              <c:yMode val="edge"/>
              <c:x val="2.1291713535808023E-2"/>
              <c:y val="0.40508364715280154"/>
            </c:manualLayout>
          </c:layout>
          <c:overlay val="0"/>
        </c:title>
        <c:numFmt formatCode="#,##0" sourceLinked="0"/>
        <c:majorTickMark val="out"/>
        <c:minorTickMark val="none"/>
        <c:tickLblPos val="nextTo"/>
        <c:txPr>
          <a:bodyPr/>
          <a:lstStyle/>
          <a:p>
            <a:pPr>
              <a:defRPr sz="1100" b="0"/>
            </a:pPr>
            <a:endParaRPr lang="en-US"/>
          </a:p>
        </c:txPr>
        <c:crossAx val="323269448"/>
        <c:crosses val="autoZero"/>
        <c:crossBetween val="between"/>
        <c:dispUnits>
          <c:builtInUnit val="thousands"/>
        </c:dispUnits>
      </c:valAx>
    </c:plotArea>
    <c:legend>
      <c:legendPos val="b"/>
      <c:layout>
        <c:manualLayout>
          <c:xMode val="edge"/>
          <c:yMode val="edge"/>
          <c:x val="2.3239789831465876E-2"/>
          <c:y val="0.81720512532674761"/>
          <c:w val="0.94215320487536447"/>
          <c:h val="0.16047596901711114"/>
        </c:manualLayout>
      </c:layout>
      <c:overlay val="0"/>
      <c:txPr>
        <a:bodyPr/>
        <a:lstStyle/>
        <a:p>
          <a:pPr>
            <a:defRPr sz="1100" b="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0"/>
              <a:t>Anatomy - </a:t>
            </a:r>
            <a:r>
              <a:rPr lang="en-US" sz="1400"/>
              <a:t>Four Cash Streams</a:t>
            </a:r>
          </a:p>
        </c:rich>
      </c:tx>
      <c:overlay val="1"/>
    </c:title>
    <c:autoTitleDeleted val="0"/>
    <c:plotArea>
      <c:layout>
        <c:manualLayout>
          <c:layoutTarget val="inner"/>
          <c:xMode val="edge"/>
          <c:yMode val="edge"/>
          <c:x val="0.12511187965523352"/>
          <c:y val="0.141273935585638"/>
          <c:w val="0.83455059425235123"/>
          <c:h val="0.58576406397476166"/>
        </c:manualLayout>
      </c:layout>
      <c:barChart>
        <c:barDir val="col"/>
        <c:grouping val="stacked"/>
        <c:varyColors val="0"/>
        <c:ser>
          <c:idx val="0"/>
          <c:order val="0"/>
          <c:tx>
            <c:strRef>
              <c:f>'Low Capex Case'!$A$278</c:f>
              <c:strCache>
                <c:ptCount val="1"/>
                <c:pt idx="0">
                  <c:v>Cashstream 2: Capital Costs - Low Capex Case</c:v>
                </c:pt>
              </c:strCache>
            </c:strRef>
          </c:tx>
          <c:spPr>
            <a:solidFill>
              <a:srgbClr val="00B0F0"/>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Case'!$D$278:$M$278</c:f>
              <c:numCache>
                <c:formatCode>#,##0</c:formatCode>
                <c:ptCount val="10"/>
                <c:pt idx="0">
                  <c:v>-2000</c:v>
                </c:pt>
                <c:pt idx="1">
                  <c:v>-21000</c:v>
                </c:pt>
                <c:pt idx="2">
                  <c:v>-20000</c:v>
                </c:pt>
                <c:pt idx="3">
                  <c:v>-6450</c:v>
                </c:pt>
                <c:pt idx="4">
                  <c:v>-6450</c:v>
                </c:pt>
                <c:pt idx="5">
                  <c:v>-7950</c:v>
                </c:pt>
                <c:pt idx="6">
                  <c:v>-6450</c:v>
                </c:pt>
                <c:pt idx="7">
                  <c:v>-6450</c:v>
                </c:pt>
                <c:pt idx="8">
                  <c:v>-6450</c:v>
                </c:pt>
                <c:pt idx="9">
                  <c:v>0</c:v>
                </c:pt>
              </c:numCache>
            </c:numRef>
          </c:val>
          <c:extLst>
            <c:ext xmlns:c16="http://schemas.microsoft.com/office/drawing/2014/chart" uri="{C3380CC4-5D6E-409C-BE32-E72D297353CC}">
              <c16:uniqueId val="{00000000-483F-4AA3-8F4F-BF58F063151D}"/>
            </c:ext>
          </c:extLst>
        </c:ser>
        <c:ser>
          <c:idx val="4"/>
          <c:order val="1"/>
          <c:tx>
            <c:strRef>
              <c:f>'Low Capex Case'!$A$282</c:f>
              <c:strCache>
                <c:ptCount val="1"/>
                <c:pt idx="0">
                  <c:v>Cashflow Deficit</c:v>
                </c:pt>
              </c:strCache>
            </c:strRef>
          </c:tx>
          <c:spPr>
            <a:noFill/>
            <a:ln w="34925">
              <a:solidFill>
                <a:srgbClr val="00B050"/>
              </a:solidFill>
              <a:prstDash val="dash"/>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Case'!$D$282:$M$282</c:f>
              <c:numCache>
                <c:formatCode>#,##0</c:formatCode>
                <c:ptCount val="10"/>
                <c:pt idx="0">
                  <c:v>2000</c:v>
                </c:pt>
                <c:pt idx="1">
                  <c:v>21000</c:v>
                </c:pt>
                <c:pt idx="2">
                  <c:v>0</c:v>
                </c:pt>
                <c:pt idx="3">
                  <c:v>0</c:v>
                </c:pt>
                <c:pt idx="4">
                  <c:v>0</c:v>
                </c:pt>
                <c:pt idx="5">
                  <c:v>0</c:v>
                </c:pt>
                <c:pt idx="6">
                  <c:v>0</c:v>
                </c:pt>
                <c:pt idx="7">
                  <c:v>0</c:v>
                </c:pt>
                <c:pt idx="8">
                  <c:v>0</c:v>
                </c:pt>
                <c:pt idx="9">
                  <c:v>40000</c:v>
                </c:pt>
              </c:numCache>
            </c:numRef>
          </c:val>
          <c:extLst>
            <c:ext xmlns:c16="http://schemas.microsoft.com/office/drawing/2014/chart" uri="{C3380CC4-5D6E-409C-BE32-E72D297353CC}">
              <c16:uniqueId val="{00000001-483F-4AA3-8F4F-BF58F063151D}"/>
            </c:ext>
          </c:extLst>
        </c:ser>
        <c:ser>
          <c:idx val="1"/>
          <c:order val="2"/>
          <c:tx>
            <c:strRef>
              <c:f>'Low Capex Case'!$A$279</c:f>
              <c:strCache>
                <c:ptCount val="1"/>
                <c:pt idx="0">
                  <c:v>Cashstream 3: Operating Costs - Low Capex Case</c:v>
                </c:pt>
              </c:strCache>
            </c:strRef>
          </c:tx>
          <c:spPr>
            <a:solidFill>
              <a:srgbClr val="FFFF00"/>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Case'!$D$279:$M$279</c:f>
              <c:numCache>
                <c:formatCode>#,##0</c:formatCode>
                <c:ptCount val="10"/>
                <c:pt idx="0">
                  <c:v>0</c:v>
                </c:pt>
                <c:pt idx="1">
                  <c:v>0</c:v>
                </c:pt>
                <c:pt idx="2">
                  <c:v>0</c:v>
                </c:pt>
                <c:pt idx="3">
                  <c:v>-40900.989838686175</c:v>
                </c:pt>
                <c:pt idx="4">
                  <c:v>-53170.607273183145</c:v>
                </c:pt>
                <c:pt idx="5">
                  <c:v>-53752.310097953843</c:v>
                </c:pt>
                <c:pt idx="6">
                  <c:v>-51847.869004096377</c:v>
                </c:pt>
                <c:pt idx="7">
                  <c:v>-51832.582593286555</c:v>
                </c:pt>
                <c:pt idx="8">
                  <c:v>-33572.605823018981</c:v>
                </c:pt>
                <c:pt idx="9">
                  <c:v>-40000</c:v>
                </c:pt>
              </c:numCache>
            </c:numRef>
          </c:val>
          <c:extLst>
            <c:ext xmlns:c16="http://schemas.microsoft.com/office/drawing/2014/chart" uri="{C3380CC4-5D6E-409C-BE32-E72D297353CC}">
              <c16:uniqueId val="{00000002-483F-4AA3-8F4F-BF58F063151D}"/>
            </c:ext>
          </c:extLst>
        </c:ser>
        <c:ser>
          <c:idx val="3"/>
          <c:order val="3"/>
          <c:tx>
            <c:strRef>
              <c:f>'Low Capex Case'!$A$281</c:f>
              <c:strCache>
                <c:ptCount val="1"/>
                <c:pt idx="0">
                  <c:v>Cashflow if positive</c:v>
                </c:pt>
              </c:strCache>
            </c:strRef>
          </c:tx>
          <c:spPr>
            <a:solidFill>
              <a:srgbClr val="33CC33"/>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Case'!$D$281:$M$281</c:f>
              <c:numCache>
                <c:formatCode>#,##0</c:formatCode>
                <c:ptCount val="10"/>
                <c:pt idx="0">
                  <c:v>0</c:v>
                </c:pt>
                <c:pt idx="1">
                  <c:v>0</c:v>
                </c:pt>
                <c:pt idx="2">
                  <c:v>0</c:v>
                </c:pt>
                <c:pt idx="3">
                  <c:v>0</c:v>
                </c:pt>
                <c:pt idx="4">
                  <c:v>25818.641383103219</c:v>
                </c:pt>
                <c:pt idx="5">
                  <c:v>26557.958258621991</c:v>
                </c:pt>
                <c:pt idx="6">
                  <c:v>23757.764023032192</c:v>
                </c:pt>
                <c:pt idx="7">
                  <c:v>22402.675786677428</c:v>
                </c:pt>
                <c:pt idx="8">
                  <c:v>12099.245914636836</c:v>
                </c:pt>
                <c:pt idx="9">
                  <c:v>0</c:v>
                </c:pt>
              </c:numCache>
            </c:numRef>
          </c:val>
          <c:extLst>
            <c:ext xmlns:c16="http://schemas.microsoft.com/office/drawing/2014/chart" uri="{C3380CC4-5D6E-409C-BE32-E72D297353CC}">
              <c16:uniqueId val="{00000003-483F-4AA3-8F4F-BF58F063151D}"/>
            </c:ext>
          </c:extLst>
        </c:ser>
        <c:ser>
          <c:idx val="2"/>
          <c:order val="4"/>
          <c:tx>
            <c:strRef>
              <c:f>'Low Capex Case'!$A$280</c:f>
              <c:strCache>
                <c:ptCount val="1"/>
                <c:pt idx="0">
                  <c:v>Cashstream 4: Taxes - Low Capex Case</c:v>
                </c:pt>
              </c:strCache>
            </c:strRef>
          </c:tx>
          <c:spPr>
            <a:solidFill>
              <a:srgbClr val="FF0000"/>
            </a:solidFill>
            <a:ln>
              <a:noFill/>
            </a:ln>
          </c:spPr>
          <c:invertIfNegative val="0"/>
          <c:cat>
            <c:numRef>
              <c:f>'Low Capex Case'!$D$63:$M$63</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'Low Capex Case'!$D$280:$M$280</c:f>
              <c:numCache>
                <c:formatCode>#,##0</c:formatCode>
                <c:ptCount val="10"/>
                <c:pt idx="0">
                  <c:v>0</c:v>
                </c:pt>
                <c:pt idx="1">
                  <c:v>0</c:v>
                </c:pt>
                <c:pt idx="2">
                  <c:v>0</c:v>
                </c:pt>
                <c:pt idx="3">
                  <c:v>0</c:v>
                </c:pt>
                <c:pt idx="4">
                  <c:v>-5343.7383430597092</c:v>
                </c:pt>
                <c:pt idx="5">
                  <c:v>-13699.459093879734</c:v>
                </c:pt>
                <c:pt idx="6">
                  <c:v>-12027.2635063692</c:v>
                </c:pt>
                <c:pt idx="7">
                  <c:v>-11694.725288748041</c:v>
                </c:pt>
                <c:pt idx="8">
                  <c:v>-1612.0160331233758</c:v>
                </c:pt>
                <c:pt idx="9">
                  <c:v>0</c:v>
                </c:pt>
              </c:numCache>
            </c:numRef>
          </c:val>
          <c:extLst>
            <c:ext xmlns:c16="http://schemas.microsoft.com/office/drawing/2014/chart" uri="{C3380CC4-5D6E-409C-BE32-E72D297353CC}">
              <c16:uniqueId val="{00000004-483F-4AA3-8F4F-BF58F063151D}"/>
            </c:ext>
          </c:extLst>
        </c:ser>
        <c:dLbls>
          <c:showLegendKey val="0"/>
          <c:showVal val="0"/>
          <c:showCatName val="0"/>
          <c:showSerName val="0"/>
          <c:showPercent val="0"/>
          <c:showBubbleSize val="0"/>
        </c:dLbls>
        <c:gapWidth val="0"/>
        <c:overlap val="100"/>
        <c:axId val="323267880"/>
        <c:axId val="323263568"/>
      </c:barChart>
      <c:catAx>
        <c:axId val="323267880"/>
        <c:scaling>
          <c:orientation val="minMax"/>
        </c:scaling>
        <c:delete val="0"/>
        <c:axPos val="b"/>
        <c:numFmt formatCode="General" sourceLinked="1"/>
        <c:majorTickMark val="out"/>
        <c:minorTickMark val="none"/>
        <c:tickLblPos val="nextTo"/>
        <c:txPr>
          <a:bodyPr/>
          <a:lstStyle/>
          <a:p>
            <a:pPr>
              <a:defRPr sz="1000"/>
            </a:pPr>
            <a:endParaRPr lang="en-US"/>
          </a:p>
        </c:txPr>
        <c:crossAx val="323263568"/>
        <c:crosses val="autoZero"/>
        <c:auto val="1"/>
        <c:lblAlgn val="ctr"/>
        <c:lblOffset val="100"/>
        <c:noMultiLvlLbl val="0"/>
      </c:catAx>
      <c:valAx>
        <c:axId val="323263568"/>
        <c:scaling>
          <c:orientation val="minMax"/>
        </c:scaling>
        <c:delete val="0"/>
        <c:axPos val="l"/>
        <c:majorGridlines/>
        <c:title>
          <c:tx>
            <c:rich>
              <a:bodyPr rot="-5400000" vert="horz"/>
              <a:lstStyle/>
              <a:p>
                <a:pPr>
                  <a:defRPr sz="1200" b="1"/>
                </a:pPr>
                <a:r>
                  <a:rPr lang="en-US" sz="1200" b="1"/>
                  <a:t>US$M</a:t>
                </a:r>
              </a:p>
            </c:rich>
          </c:tx>
          <c:layout>
            <c:manualLayout>
              <c:xMode val="edge"/>
              <c:yMode val="edge"/>
              <c:x val="9.5604029652637396E-3"/>
              <c:y val="0.26838821871404006"/>
            </c:manualLayout>
          </c:layout>
          <c:overlay val="0"/>
        </c:title>
        <c:numFmt formatCode="#,##0" sourceLinked="0"/>
        <c:majorTickMark val="out"/>
        <c:minorTickMark val="none"/>
        <c:tickLblPos val="nextTo"/>
        <c:txPr>
          <a:bodyPr/>
          <a:lstStyle/>
          <a:p>
            <a:pPr>
              <a:defRPr sz="1100" b="0" baseline="0"/>
            </a:pPr>
            <a:endParaRPr lang="en-US"/>
          </a:p>
        </c:txPr>
        <c:crossAx val="323267880"/>
        <c:crosses val="autoZero"/>
        <c:crossBetween val="between"/>
        <c:dispUnits>
          <c:builtInUnit val="thousands"/>
        </c:dispUnits>
      </c:valAx>
    </c:plotArea>
    <c:legend>
      <c:legendPos val="b"/>
      <c:layout>
        <c:manualLayout>
          <c:xMode val="edge"/>
          <c:yMode val="edge"/>
          <c:x val="2.510927933445995E-3"/>
          <c:y val="0.72972641131722937"/>
          <c:w val="0.99042838483052786"/>
          <c:h val="0.25238963773596101"/>
        </c:manualLayout>
      </c:layout>
      <c:overlay val="0"/>
      <c:spPr>
        <a:solidFill>
          <a:schemeClr val="bg1"/>
        </a:solidFill>
      </c:spPr>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9</xdr:col>
      <xdr:colOff>596900</xdr:colOff>
      <xdr:row>2</xdr:row>
      <xdr:rowOff>73024</xdr:rowOff>
    </xdr:from>
    <xdr:to>
      <xdr:col>16</xdr:col>
      <xdr:colOff>419099</xdr:colOff>
      <xdr:row>10</xdr:row>
      <xdr:rowOff>95249</xdr:rowOff>
    </xdr:to>
    <xdr:sp macro="" textlink="">
      <xdr:nvSpPr>
        <xdr:cNvPr id="2" name="TextBox 1">
          <a:extLst>
            <a:ext uri="{FF2B5EF4-FFF2-40B4-BE49-F238E27FC236}">
              <a16:creationId xmlns:a16="http://schemas.microsoft.com/office/drawing/2014/main" id="{F641315A-FE53-4174-8CA6-9771FBD4FF14}"/>
            </a:ext>
          </a:extLst>
        </xdr:cNvPr>
        <xdr:cNvSpPr txBox="1"/>
      </xdr:nvSpPr>
      <xdr:spPr>
        <a:xfrm>
          <a:off x="7131050" y="587374"/>
          <a:ext cx="4089399" cy="1774825"/>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AU" sz="1200">
              <a:solidFill>
                <a:srgbClr val="00B050"/>
              </a:solidFill>
              <a:latin typeface="+mn-lt"/>
              <a:ea typeface="+mn-ea"/>
              <a:cs typeface="+mn-cs"/>
            </a:rPr>
            <a:t>This simple worked example illustrates the structure of an evaluation model that compares three alternatives in Mining.  </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As happens, the highest NPV alternative may not be the best </a:t>
          </a:r>
          <a:r>
            <a:rPr lang="en-AU" sz="1200" baseline="0">
              <a:solidFill>
                <a:srgbClr val="00B050"/>
              </a:solidFill>
              <a:latin typeface="+mn-lt"/>
              <a:ea typeface="+mn-ea"/>
              <a:cs typeface="+mn-cs"/>
            </a:rPr>
            <a:t>selection.</a:t>
          </a:r>
          <a:endParaRPr lang="en-AU" sz="1200">
            <a:solidFill>
              <a:srgbClr val="00B050"/>
            </a:solidFill>
            <a:latin typeface="+mn-lt"/>
            <a:ea typeface="+mn-ea"/>
            <a:cs typeface="+mn-cs"/>
          </a:endParaRPr>
        </a:p>
        <a:p>
          <a:pPr marL="0" indent="0" algn="l"/>
          <a:endParaRPr lang="en-AU" sz="1200" baseline="0">
            <a:solidFill>
              <a:srgbClr val="00B050"/>
            </a:solidFill>
            <a:latin typeface="+mn-lt"/>
            <a:ea typeface="+mn-ea"/>
            <a:cs typeface="+mn-cs"/>
          </a:endParaRPr>
        </a:p>
        <a:p>
          <a:pPr marL="0" indent="0" algn="l"/>
          <a:r>
            <a:rPr lang="en-AU" sz="1200" baseline="0">
              <a:solidFill>
                <a:srgbClr val="00B050"/>
              </a:solidFill>
              <a:latin typeface="+mn-lt"/>
              <a:ea typeface="+mn-ea"/>
              <a:cs typeface="+mn-cs"/>
            </a:rPr>
            <a:t>On each worksheet, the graph of the four cashstreams reveals the anatomy of that alternative.</a:t>
          </a:r>
          <a:endParaRPr lang="en-AU" sz="1200" b="1">
            <a:solidFill>
              <a:srgbClr val="00B050"/>
            </a:solidFill>
            <a:latin typeface="+mn-lt"/>
            <a:ea typeface="+mn-ea"/>
            <a:cs typeface="+mn-cs"/>
          </a:endParaRPr>
        </a:p>
      </xdr:txBody>
    </xdr:sp>
    <xdr:clientData/>
  </xdr:twoCellAnchor>
  <xdr:twoCellAnchor>
    <xdr:from>
      <xdr:col>1</xdr:col>
      <xdr:colOff>171450</xdr:colOff>
      <xdr:row>3</xdr:row>
      <xdr:rowOff>101600</xdr:rowOff>
    </xdr:from>
    <xdr:to>
      <xdr:col>9</xdr:col>
      <xdr:colOff>542925</xdr:colOff>
      <xdr:row>3</xdr:row>
      <xdr:rowOff>123825</xdr:rowOff>
    </xdr:to>
    <xdr:cxnSp macro="">
      <xdr:nvCxnSpPr>
        <xdr:cNvPr id="3" name="Straight Arrow Connector 2">
          <a:extLst>
            <a:ext uri="{FF2B5EF4-FFF2-40B4-BE49-F238E27FC236}">
              <a16:creationId xmlns:a16="http://schemas.microsoft.com/office/drawing/2014/main" id="{BCDAF487-C8FF-43EC-BA0A-C5DC41E4CE7C}"/>
            </a:ext>
          </a:extLst>
        </xdr:cNvPr>
        <xdr:cNvCxnSpPr/>
      </xdr:nvCxnSpPr>
      <xdr:spPr>
        <a:xfrm>
          <a:off x="1152525" y="835025"/>
          <a:ext cx="5924550" cy="22225"/>
        </a:xfrm>
        <a:prstGeom prst="straightConnector1">
          <a:avLst/>
        </a:prstGeom>
        <a:ln w="28575">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1971675</xdr:colOff>
      <xdr:row>1</xdr:row>
      <xdr:rowOff>730250</xdr:rowOff>
    </xdr:from>
    <xdr:to>
      <xdr:col>3</xdr:col>
      <xdr:colOff>717549</xdr:colOff>
      <xdr:row>1</xdr:row>
      <xdr:rowOff>1142999</xdr:rowOff>
    </xdr:to>
    <xdr:sp macro="" textlink="">
      <xdr:nvSpPr>
        <xdr:cNvPr id="3" name="TextBox 2">
          <a:extLst>
            <a:ext uri="{FF2B5EF4-FFF2-40B4-BE49-F238E27FC236}">
              <a16:creationId xmlns:a16="http://schemas.microsoft.com/office/drawing/2014/main" id="{27A2890B-063F-FA6A-D9FD-A5DA0ED0756D}"/>
            </a:ext>
          </a:extLst>
        </xdr:cNvPr>
        <xdr:cNvSpPr txBox="1"/>
      </xdr:nvSpPr>
      <xdr:spPr>
        <a:xfrm>
          <a:off x="1971675" y="968375"/>
          <a:ext cx="3746499" cy="412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rgbClr val="FF0000"/>
              </a:solidFill>
            </a:rPr>
            <a:t>Read this first --&gt;</a:t>
          </a:r>
        </a:p>
      </xdr:txBody>
    </xdr:sp>
    <xdr:clientData/>
  </xdr:twoCellAnchor>
  <xdr:twoCellAnchor>
    <xdr:from>
      <xdr:col>0</xdr:col>
      <xdr:colOff>1695451</xdr:colOff>
      <xdr:row>25</xdr:row>
      <xdr:rowOff>158750</xdr:rowOff>
    </xdr:from>
    <xdr:to>
      <xdr:col>2</xdr:col>
      <xdr:colOff>482600</xdr:colOff>
      <xdr:row>27</xdr:row>
      <xdr:rowOff>38100</xdr:rowOff>
    </xdr:to>
    <xdr:sp macro="" textlink="">
      <xdr:nvSpPr>
        <xdr:cNvPr id="13" name="TextBox 12">
          <a:extLst>
            <a:ext uri="{FF2B5EF4-FFF2-40B4-BE49-F238E27FC236}">
              <a16:creationId xmlns:a16="http://schemas.microsoft.com/office/drawing/2014/main" id="{DB005AF2-87FD-9C94-F498-9130CFA30368}"/>
            </a:ext>
          </a:extLst>
        </xdr:cNvPr>
        <xdr:cNvSpPr txBox="1"/>
      </xdr:nvSpPr>
      <xdr:spPr>
        <a:xfrm>
          <a:off x="1695451" y="5492750"/>
          <a:ext cx="2978149" cy="61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rgbClr val="269A26"/>
              </a:solidFill>
              <a:effectLst/>
              <a:latin typeface="+mn-lt"/>
              <a:ea typeface="+mn-ea"/>
              <a:cs typeface="+mn-cs"/>
            </a:rPr>
            <a:t>Green Font </a:t>
          </a:r>
          <a:r>
            <a:rPr lang="en-AU" sz="1100" b="1" i="0" u="none" strike="noStrike">
              <a:solidFill>
                <a:srgbClr val="0070C0"/>
              </a:solidFill>
              <a:effectLst/>
              <a:latin typeface="+mn-lt"/>
              <a:ea typeface="+mn-ea"/>
              <a:cs typeface="+mn-cs"/>
            </a:rPr>
            <a:t>=</a:t>
          </a:r>
          <a:r>
            <a:rPr lang="en-AU" sz="1100" b="0" i="0" u="none" strike="noStrike" baseline="0">
              <a:solidFill>
                <a:sysClr val="windowText" lastClr="000000"/>
              </a:solidFill>
              <a:effectLst/>
              <a:latin typeface="+mn-lt"/>
              <a:ea typeface="+mn-ea"/>
              <a:cs typeface="+mn-cs"/>
            </a:rPr>
            <a:t>  from another worksheet</a:t>
          </a:r>
        </a:p>
        <a:p>
          <a:r>
            <a:rPr lang="en-AU" sz="1100" b="1" i="0" u="none" strike="noStrike">
              <a:solidFill>
                <a:srgbClr val="0070C0"/>
              </a:solidFill>
              <a:effectLst/>
              <a:latin typeface="+mn-lt"/>
              <a:ea typeface="+mn-ea"/>
              <a:cs typeface="+mn-cs"/>
            </a:rPr>
            <a:t>Blue </a:t>
          </a:r>
          <a:r>
            <a:rPr lang="en-AU" sz="1100" b="0" i="0" u="none" strike="noStrike">
              <a:solidFill>
                <a:srgbClr val="0070C0"/>
              </a:solidFill>
              <a:effectLst/>
              <a:latin typeface="+mn-lt"/>
              <a:ea typeface="+mn-ea"/>
              <a:cs typeface="+mn-cs"/>
            </a:rPr>
            <a:t>font </a:t>
          </a:r>
          <a:r>
            <a:rPr lang="en-AU" sz="1100" b="0" i="0" u="none" strike="noStrike">
              <a:solidFill>
                <a:schemeClr val="dk1"/>
              </a:solidFill>
              <a:effectLst/>
              <a:latin typeface="+mn-lt"/>
              <a:ea typeface="+mn-ea"/>
              <a:cs typeface="+mn-cs"/>
            </a:rPr>
            <a:t>= fresh input data</a:t>
          </a:r>
        </a:p>
        <a:p>
          <a:r>
            <a:rPr lang="en-AU" sz="1100" b="1" i="0" u="none" strike="noStrike">
              <a:solidFill>
                <a:srgbClr val="FF66FF"/>
              </a:solidFill>
              <a:effectLst/>
              <a:latin typeface="+mn-lt"/>
              <a:ea typeface="+mn-ea"/>
              <a:cs typeface="+mn-cs"/>
            </a:rPr>
            <a:t>Purple font </a:t>
          </a:r>
          <a:r>
            <a:rPr lang="en-AU" sz="1100" b="0" i="0" u="none" strike="noStrike">
              <a:solidFill>
                <a:schemeClr val="dk1"/>
              </a:solidFill>
              <a:effectLst/>
              <a:latin typeface="+mn-lt"/>
              <a:ea typeface="+mn-ea"/>
              <a:cs typeface="+mn-cs"/>
            </a:rPr>
            <a:t>= data needs to be verified</a:t>
          </a:r>
        </a:p>
        <a:p>
          <a:endParaRPr lang="en-AU" sz="1100"/>
        </a:p>
      </xdr:txBody>
    </xdr:sp>
    <xdr:clientData/>
  </xdr:twoCellAnchor>
  <xdr:twoCellAnchor>
    <xdr:from>
      <xdr:col>3</xdr:col>
      <xdr:colOff>649402</xdr:colOff>
      <xdr:row>1</xdr:row>
      <xdr:rowOff>361951</xdr:rowOff>
    </xdr:from>
    <xdr:to>
      <xdr:col>12</xdr:col>
      <xdr:colOff>273051</xdr:colOff>
      <xdr:row>24</xdr:row>
      <xdr:rowOff>28575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5650027" y="600076"/>
          <a:ext cx="6738824" cy="373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AU" sz="1050" b="1">
              <a:solidFill>
                <a:sysClr val="windowText" lastClr="000000"/>
              </a:solidFill>
            </a:rPr>
            <a:t>These three results illustrate</a:t>
          </a:r>
          <a:r>
            <a:rPr lang="en-AU" sz="1050" b="1" baseline="0">
              <a:solidFill>
                <a:sysClr val="windowText" lastClr="000000"/>
              </a:solidFill>
            </a:rPr>
            <a:t> that decisions need to be made using a basket of assessments, not just NPV!</a:t>
          </a:r>
        </a:p>
        <a:p>
          <a:pPr>
            <a:lnSpc>
              <a:spcPts val="1700"/>
            </a:lnSpc>
          </a:pPr>
          <a:endParaRPr lang="en-AU" sz="1050" b="1" baseline="0">
            <a:solidFill>
              <a:sysClr val="windowText" lastClr="000000"/>
            </a:solidFill>
          </a:endParaRPr>
        </a:p>
        <a:p>
          <a:pPr marL="0" marR="0" lvl="0" indent="0" defTabSz="914400" eaLnBrk="1" fontAlgn="auto" latinLnBrk="0" hangingPunct="1">
            <a:lnSpc>
              <a:spcPts val="1700"/>
            </a:lnSpc>
            <a:spcBef>
              <a:spcPts val="0"/>
            </a:spcBef>
            <a:spcAft>
              <a:spcPts val="0"/>
            </a:spcAft>
            <a:buClrTx/>
            <a:buSzTx/>
            <a:buFontTx/>
            <a:buNone/>
            <a:tabLst/>
            <a:defRPr/>
          </a:pPr>
          <a:r>
            <a:rPr lang="en-AU" sz="1100" b="1" baseline="0">
              <a:solidFill>
                <a:schemeClr val="dk1"/>
              </a:solidFill>
              <a:effectLst/>
              <a:latin typeface="+mn-lt"/>
              <a:ea typeface="+mn-ea"/>
              <a:cs typeface="+mn-cs"/>
            </a:rPr>
            <a:t>The 'Base Case' </a:t>
          </a:r>
          <a:r>
            <a:rPr lang="en-AU" sz="1000" b="0" baseline="0">
              <a:solidFill>
                <a:schemeClr val="dk1"/>
              </a:solidFill>
              <a:effectLst/>
              <a:latin typeface="+mn-lt"/>
              <a:ea typeface="+mn-ea"/>
              <a:cs typeface="+mn-cs"/>
            </a:rPr>
            <a:t>has the highest NPV and IRR but a much higher initial capex.  </a:t>
          </a:r>
          <a:endParaRPr lang="en-AU" sz="1000">
            <a:effectLst/>
          </a:endParaRPr>
        </a:p>
        <a:p>
          <a:pPr>
            <a:lnSpc>
              <a:spcPts val="1700"/>
            </a:lnSpc>
          </a:pPr>
          <a:r>
            <a:rPr lang="en-AU" sz="1000" b="1" baseline="0">
              <a:solidFill>
                <a:sysClr val="windowText" lastClr="000000"/>
              </a:solidFill>
            </a:rPr>
            <a:t>The </a:t>
          </a:r>
          <a:r>
            <a:rPr lang="en-AU" sz="1050" b="1" baseline="0">
              <a:solidFill>
                <a:sysClr val="windowText" lastClr="000000"/>
              </a:solidFill>
            </a:rPr>
            <a:t>'Low Capex Case</a:t>
          </a:r>
          <a:r>
            <a:rPr lang="en-AU" sz="1000" b="1" baseline="0">
              <a:solidFill>
                <a:sysClr val="windowText" lastClr="000000"/>
              </a:solidFill>
            </a:rPr>
            <a:t>' </a:t>
          </a:r>
          <a:r>
            <a:rPr lang="en-AU" sz="1000" b="0" baseline="0">
              <a:solidFill>
                <a:sysClr val="windowText" lastClr="000000"/>
              </a:solidFill>
            </a:rPr>
            <a:t>gives lower NPV and IRR but has the attraction of much lower upfront capex. The graphs illustrate it has high operating costs per ounce in the first and last years of production.  This would make it more vulnerable to bleeding cash and being shut down if gold prices cycle down.  Its plant and equipment probably would be lower in quality and so would need higher sustaining capex.  Most importatntly these facilities may be unsuitable for an extended life if more ore is discovered. </a:t>
          </a:r>
        </a:p>
        <a:p>
          <a:pPr>
            <a:lnSpc>
              <a:spcPts val="1800"/>
            </a:lnSpc>
          </a:pPr>
          <a:r>
            <a:rPr lang="en-AU" sz="1000" b="1" baseline="0">
              <a:solidFill>
                <a:sysClr val="windowText" lastClr="000000"/>
              </a:solidFill>
            </a:rPr>
            <a:t>The "High Grading - Short Life Case' </a:t>
          </a:r>
          <a:r>
            <a:rPr lang="en-AU" sz="1000" b="0" baseline="0">
              <a:solidFill>
                <a:sysClr val="windowText" lastClr="000000"/>
              </a:solidFill>
            </a:rPr>
            <a:t>appears to be a poor investment.</a:t>
          </a:r>
        </a:p>
        <a:p>
          <a:pPr>
            <a:lnSpc>
              <a:spcPts val="1800"/>
            </a:lnSpc>
          </a:pPr>
          <a:endParaRPr lang="en-AU" sz="900" b="0" baseline="0">
            <a:solidFill>
              <a:sysClr val="windowText" lastClr="000000"/>
            </a:solidFill>
          </a:endParaRPr>
        </a:p>
        <a:p>
          <a:pPr>
            <a:lnSpc>
              <a:spcPts val="1800"/>
            </a:lnSpc>
          </a:pPr>
          <a:r>
            <a:rPr lang="en-AU" sz="1000" b="1" baseline="0">
              <a:solidFill>
                <a:sysClr val="windowText" lastClr="000000"/>
              </a:solidFill>
            </a:rPr>
            <a:t>NEXT STEPS</a:t>
          </a:r>
          <a:r>
            <a:rPr lang="en-AU" sz="1000" b="0" baseline="0">
              <a:solidFill>
                <a:sysClr val="windowText" lastClr="000000"/>
              </a:solidFill>
            </a:rPr>
            <a:t>: All cases should now be tested with high and low price scenarios (remembering that the A$ is likely to move in the reverse direction to partly offset).  They should be assessed for their abilities to flex with changing gold ores, various production strategies and fluctuating market conditions.  They should be tested against the likellihood of expanding throughput or extending life.  Each should be assessed for its special risks and opportunities/options.  Use the modules in the website!</a:t>
          </a:r>
          <a:endParaRPr lang="en-AU" sz="1000" b="1">
            <a:solidFill>
              <a:sysClr val="windowText" lastClr="000000"/>
            </a:solidFill>
          </a:endParaRPr>
        </a:p>
        <a:p>
          <a:pPr>
            <a:lnSpc>
              <a:spcPts val="1700"/>
            </a:lnSpc>
          </a:pPr>
          <a:r>
            <a:rPr lang="en-AU" sz="1000" b="1">
              <a:solidFill>
                <a:sysClr val="windowText" lastClr="000000"/>
              </a:solidFill>
            </a:rPr>
            <a:t>Selecting the best</a:t>
          </a:r>
          <a:r>
            <a:rPr lang="en-AU" sz="1000" b="1" baseline="0">
              <a:solidFill>
                <a:sysClr val="windowText" lastClr="000000"/>
              </a:solidFill>
            </a:rPr>
            <a:t> case is not a rush to compute the NPV's, but it is a more complex process that needs lots of evaluation and thinking!   Look at the graphs for each case - they tell you lots more.   Peter </a:t>
          </a:r>
        </a:p>
        <a:p>
          <a:pPr>
            <a:lnSpc>
              <a:spcPts val="1800"/>
            </a:lnSpc>
          </a:pPr>
          <a:endParaRPr lang="en-AU" sz="1000" b="1">
            <a:solidFill>
              <a:sysClr val="windowText" lastClr="000000"/>
            </a:solidFill>
          </a:endParaRPr>
        </a:p>
        <a:p>
          <a:pPr>
            <a:lnSpc>
              <a:spcPts val="1700"/>
            </a:lnSpc>
          </a:pPr>
          <a:endParaRPr lang="en-AU" sz="1000" b="1">
            <a:solidFill>
              <a:sysClr val="windowText" lastClr="000000"/>
            </a:solidFill>
          </a:endParaRPr>
        </a:p>
        <a:p>
          <a:pPr>
            <a:lnSpc>
              <a:spcPts val="1700"/>
            </a:lnSpc>
          </a:pPr>
          <a:endParaRPr lang="en-AU" sz="10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31</xdr:row>
      <xdr:rowOff>92075</xdr:rowOff>
    </xdr:from>
    <xdr:to>
      <xdr:col>3</xdr:col>
      <xdr:colOff>752475</xdr:colOff>
      <xdr:row>42</xdr:row>
      <xdr:rowOff>133350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73025</xdr:colOff>
      <xdr:row>42</xdr:row>
      <xdr:rowOff>200025</xdr:rowOff>
    </xdr:from>
    <xdr:to>
      <xdr:col>3</xdr:col>
      <xdr:colOff>771525</xdr:colOff>
      <xdr:row>52</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885825</xdr:colOff>
      <xdr:row>39</xdr:row>
      <xdr:rowOff>149225</xdr:rowOff>
    </xdr:from>
    <xdr:to>
      <xdr:col>9</xdr:col>
      <xdr:colOff>190500</xdr:colOff>
      <xdr:row>52</xdr:row>
      <xdr:rowOff>107948</xdr:rowOff>
    </xdr:to>
    <xdr:graphicFrame macro="">
      <xdr:nvGraphicFramePr>
        <xdr:cNvPr id="4" name="Chart 4">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793748</xdr:colOff>
      <xdr:row>21</xdr:row>
      <xdr:rowOff>45086</xdr:rowOff>
    </xdr:from>
    <xdr:to>
      <xdr:col>9</xdr:col>
      <xdr:colOff>228600</xdr:colOff>
      <xdr:row>31</xdr:row>
      <xdr:rowOff>9525</xdr:rowOff>
    </xdr:to>
    <xdr:graphicFrame macro="">
      <xdr:nvGraphicFramePr>
        <xdr:cNvPr id="5" name="Chart 3">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76202</xdr:colOff>
      <xdr:row>53</xdr:row>
      <xdr:rowOff>38100</xdr:rowOff>
    </xdr:from>
    <xdr:to>
      <xdr:col>3</xdr:col>
      <xdr:colOff>149226</xdr:colOff>
      <xdr:row>61</xdr:row>
      <xdr:rowOff>180975</xdr:rowOff>
    </xdr:to>
    <xdr:graphicFrame macro="">
      <xdr:nvGraphicFramePr>
        <xdr:cNvPr id="6" name="Chart 2">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333376</xdr:colOff>
      <xdr:row>53</xdr:row>
      <xdr:rowOff>0</xdr:rowOff>
    </xdr:from>
    <xdr:to>
      <xdr:col>6</xdr:col>
      <xdr:colOff>400052</xdr:colOff>
      <xdr:row>61</xdr:row>
      <xdr:rowOff>104775</xdr:rowOff>
    </xdr:to>
    <xdr:graphicFrame macro="">
      <xdr:nvGraphicFramePr>
        <xdr:cNvPr id="7" name="Chart 2">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514352</xdr:colOff>
      <xdr:row>53</xdr:row>
      <xdr:rowOff>6351</xdr:rowOff>
    </xdr:from>
    <xdr:to>
      <xdr:col>9</xdr:col>
      <xdr:colOff>733425</xdr:colOff>
      <xdr:row>61</xdr:row>
      <xdr:rowOff>104775</xdr:rowOff>
    </xdr:to>
    <xdr:graphicFrame macro="">
      <xdr:nvGraphicFramePr>
        <xdr:cNvPr id="8" name="Chart 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141605</xdr:colOff>
      <xdr:row>32</xdr:row>
      <xdr:rowOff>104776</xdr:rowOff>
    </xdr:from>
    <xdr:to>
      <xdr:col>8</xdr:col>
      <xdr:colOff>200025</xdr:colOff>
      <xdr:row>35</xdr:row>
      <xdr:rowOff>25401</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5561330" y="7153276"/>
          <a:ext cx="3639820" cy="57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accent6">
                  <a:lumMod val="75000"/>
                </a:schemeClr>
              </a:solidFill>
            </a:rPr>
            <a:t>This is the best graph to  quickly understand the economics and health of  the business.</a:t>
          </a:r>
        </a:p>
      </xdr:txBody>
    </xdr:sp>
    <xdr:clientData/>
  </xdr:twoCellAnchor>
  <xdr:twoCellAnchor>
    <xdr:from>
      <xdr:col>3</xdr:col>
      <xdr:colOff>628650</xdr:colOff>
      <xdr:row>33</xdr:row>
      <xdr:rowOff>30704</xdr:rowOff>
    </xdr:from>
    <xdr:to>
      <xdr:col>4</xdr:col>
      <xdr:colOff>144482</xdr:colOff>
      <xdr:row>34</xdr:row>
      <xdr:rowOff>180975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5153025" y="7298279"/>
          <a:ext cx="411182" cy="369346"/>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2</xdr:row>
      <xdr:rowOff>149226</xdr:rowOff>
    </xdr:from>
    <xdr:to>
      <xdr:col>8</xdr:col>
      <xdr:colOff>838200</xdr:colOff>
      <xdr:row>8</xdr:row>
      <xdr:rowOff>152400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4638675" y="930276"/>
          <a:ext cx="5200650" cy="1441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AU" sz="1100" b="0">
              <a:solidFill>
                <a:schemeClr val="accent6">
                  <a:lumMod val="75000"/>
                </a:schemeClr>
              </a:solidFill>
              <a:latin typeface="+mn-lt"/>
              <a:ea typeface="+mn-ea"/>
              <a:cs typeface="+mn-cs"/>
            </a:rPr>
            <a:t>Do not be obsessed with the final NPV number.  Instead assess the profile of the cumulative NPV.  A lower NPV but higher IRR with lower risk may be a far better choice!</a:t>
          </a:r>
        </a:p>
        <a:p>
          <a:pPr marL="0" indent="0"/>
          <a:endParaRPr lang="en-AU" sz="1100" b="0">
            <a:solidFill>
              <a:schemeClr val="accent6">
                <a:lumMod val="75000"/>
              </a:schemeClr>
            </a:solidFill>
            <a:latin typeface="+mn-lt"/>
            <a:ea typeface="+mn-ea"/>
            <a:cs typeface="+mn-cs"/>
          </a:endParaRPr>
        </a:p>
        <a:p>
          <a:pPr marL="0" indent="0"/>
          <a:r>
            <a:rPr lang="en-AU" sz="1100" b="0">
              <a:solidFill>
                <a:schemeClr val="accent6">
                  <a:lumMod val="75000"/>
                </a:schemeClr>
              </a:solidFill>
              <a:latin typeface="+mn-lt"/>
              <a:ea typeface="+mn-ea"/>
              <a:cs typeface="+mn-cs"/>
            </a:rPr>
            <a:t>Test each</a:t>
          </a:r>
          <a:r>
            <a:rPr lang="en-AU" sz="1100" b="0" baseline="0">
              <a:solidFill>
                <a:schemeClr val="accent6">
                  <a:lumMod val="75000"/>
                </a:schemeClr>
              </a:solidFill>
              <a:latin typeface="+mn-lt"/>
              <a:ea typeface="+mn-ea"/>
              <a:cs typeface="+mn-cs"/>
            </a:rPr>
            <a:t> case under favourable and unfavourable scenarios to see which is the most flexible and robust.</a:t>
          </a:r>
        </a:p>
        <a:p>
          <a:pPr marL="0" indent="0"/>
          <a:endParaRPr lang="en-AU" sz="1100" b="0" baseline="0">
            <a:solidFill>
              <a:schemeClr val="accent6">
                <a:lumMod val="75000"/>
              </a:schemeClr>
            </a:solidFill>
            <a:latin typeface="+mn-lt"/>
            <a:ea typeface="+mn-ea"/>
            <a:cs typeface="+mn-cs"/>
          </a:endParaRPr>
        </a:p>
        <a:p>
          <a:pPr marL="0" indent="0"/>
          <a:r>
            <a:rPr lang="en-AU" sz="1100" b="0" baseline="0">
              <a:solidFill>
                <a:schemeClr val="accent6">
                  <a:lumMod val="75000"/>
                </a:schemeClr>
              </a:solidFill>
              <a:latin typeface="+mn-lt"/>
              <a:ea typeface="+mn-ea"/>
              <a:cs typeface="+mn-cs"/>
            </a:rPr>
            <a:t>Present the profiles, advantages and disadvantages of each.</a:t>
          </a:r>
          <a:endParaRPr lang="en-AU" sz="1100" b="0">
            <a:solidFill>
              <a:schemeClr val="accent6">
                <a:lumMod val="75000"/>
              </a:schemeClr>
            </a:solidFill>
            <a:latin typeface="+mn-lt"/>
            <a:ea typeface="+mn-ea"/>
            <a:cs typeface="+mn-cs"/>
          </a:endParaRPr>
        </a:p>
      </xdr:txBody>
    </xdr:sp>
    <xdr:clientData/>
  </xdr:twoCellAnchor>
  <xdr:twoCellAnchor>
    <xdr:from>
      <xdr:col>6</xdr:col>
      <xdr:colOff>705224</xdr:colOff>
      <xdr:row>3</xdr:row>
      <xdr:rowOff>132528</xdr:rowOff>
    </xdr:from>
    <xdr:to>
      <xdr:col>8</xdr:col>
      <xdr:colOff>28575</xdr:colOff>
      <xdr:row>23</xdr:row>
      <xdr:rowOff>142875</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7915649" y="1323153"/>
          <a:ext cx="1114051" cy="3896547"/>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120</xdr:row>
      <xdr:rowOff>104775</xdr:rowOff>
    </xdr:from>
    <xdr:to>
      <xdr:col>3</xdr:col>
      <xdr:colOff>200025</xdr:colOff>
      <xdr:row>121</xdr:row>
      <xdr:rowOff>57150</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3152775" y="22069425"/>
          <a:ext cx="1181100" cy="114300"/>
        </a:xfrm>
        <a:prstGeom prst="straightConnector1">
          <a:avLst/>
        </a:prstGeom>
        <a:ln>
          <a:solidFill>
            <a:schemeClr val="accent6">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254</xdr:row>
      <xdr:rowOff>76200</xdr:rowOff>
    </xdr:from>
    <xdr:to>
      <xdr:col>11</xdr:col>
      <xdr:colOff>330200</xdr:colOff>
      <xdr:row>256</xdr:row>
      <xdr:rowOff>476250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5114925" y="44453175"/>
          <a:ext cx="69024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AU" sz="1200" b="0">
              <a:solidFill>
                <a:schemeClr val="accent6">
                  <a:lumMod val="75000"/>
                </a:schemeClr>
              </a:solidFill>
            </a:rPr>
            <a:t>IRR measures</a:t>
          </a:r>
          <a:r>
            <a:rPr lang="en-AU" sz="1200" b="0" baseline="0">
              <a:solidFill>
                <a:schemeClr val="accent6">
                  <a:lumMod val="75000"/>
                </a:schemeClr>
              </a:solidFill>
            </a:rPr>
            <a:t> the </a:t>
          </a:r>
          <a:r>
            <a:rPr lang="en-AU" sz="1400" b="1" baseline="0">
              <a:solidFill>
                <a:schemeClr val="accent6">
                  <a:lumMod val="75000"/>
                </a:schemeClr>
              </a:solidFill>
            </a:rPr>
            <a:t>quality</a:t>
          </a:r>
          <a:r>
            <a:rPr lang="en-AU" sz="1200" b="0" baseline="0">
              <a:solidFill>
                <a:schemeClr val="accent6">
                  <a:lumMod val="75000"/>
                </a:schemeClr>
              </a:solidFill>
            </a:rPr>
            <a:t> and internal cash generating power of the investment whereas </a:t>
          </a:r>
        </a:p>
        <a:p>
          <a:pPr>
            <a:lnSpc>
              <a:spcPts val="1700"/>
            </a:lnSpc>
          </a:pPr>
          <a:r>
            <a:rPr lang="en-AU" sz="1200" b="0" baseline="0">
              <a:solidFill>
                <a:schemeClr val="accent6">
                  <a:lumMod val="75000"/>
                </a:schemeClr>
              </a:solidFill>
            </a:rPr>
            <a:t>NPV measures the </a:t>
          </a:r>
          <a:r>
            <a:rPr lang="en-AU" sz="1400" b="1" baseline="0">
              <a:solidFill>
                <a:schemeClr val="accent6">
                  <a:lumMod val="75000"/>
                </a:schemeClr>
              </a:solidFill>
              <a:latin typeface="+mn-lt"/>
              <a:ea typeface="+mn-ea"/>
              <a:cs typeface="+mn-cs"/>
            </a:rPr>
            <a:t>quantity.</a:t>
          </a:r>
          <a:r>
            <a:rPr lang="en-AU" sz="1200" b="0" baseline="0">
              <a:solidFill>
                <a:schemeClr val="accent6">
                  <a:lumMod val="75000"/>
                </a:schemeClr>
              </a:solidFill>
            </a:rPr>
            <a:t>   </a:t>
          </a:r>
        </a:p>
        <a:p>
          <a:pPr>
            <a:lnSpc>
              <a:spcPts val="1700"/>
            </a:lnSpc>
          </a:pPr>
          <a:r>
            <a:rPr lang="en-AU" sz="1200" b="0" baseline="0">
              <a:solidFill>
                <a:schemeClr val="accent6">
                  <a:lumMod val="75000"/>
                </a:schemeClr>
              </a:solidFill>
            </a:rPr>
            <a:t>Use a full basket of measures including payback, flexibility, adapting to weak and strong markets, strengths and weaknesses, position on industry cost curve, competitiveness, technology,  etc      </a:t>
          </a:r>
          <a:endParaRPr lang="en-AU" sz="1200" b="0">
            <a:solidFill>
              <a:schemeClr val="accent6">
                <a:lumMod val="75000"/>
              </a:schemeClr>
            </a:solidFill>
          </a:endParaRPr>
        </a:p>
      </xdr:txBody>
    </xdr:sp>
    <xdr:clientData/>
  </xdr:twoCellAnchor>
  <xdr:twoCellAnchor>
    <xdr:from>
      <xdr:col>2</xdr:col>
      <xdr:colOff>981710</xdr:colOff>
      <xdr:row>254</xdr:row>
      <xdr:rowOff>266700</xdr:rowOff>
    </xdr:from>
    <xdr:to>
      <xdr:col>3</xdr:col>
      <xdr:colOff>666750</xdr:colOff>
      <xdr:row>255</xdr:row>
      <xdr:rowOff>106680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flipH="1">
          <a:off x="4334510" y="44643675"/>
          <a:ext cx="856615" cy="325755"/>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829310</xdr:colOff>
      <xdr:row>255</xdr:row>
      <xdr:rowOff>9525</xdr:rowOff>
    </xdr:from>
    <xdr:to>
      <xdr:col>3</xdr:col>
      <xdr:colOff>600075</xdr:colOff>
      <xdr:row>264</xdr:row>
      <xdr:rowOff>121920</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H="1">
          <a:off x="4182110" y="44872275"/>
          <a:ext cx="942340" cy="200787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939800</xdr:colOff>
      <xdr:row>175</xdr:row>
      <xdr:rowOff>139700</xdr:rowOff>
    </xdr:from>
    <xdr:to>
      <xdr:col>3</xdr:col>
      <xdr:colOff>279400</xdr:colOff>
      <xdr:row>177</xdr:row>
      <xdr:rowOff>12700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flipH="1">
          <a:off x="3843020" y="37500560"/>
          <a:ext cx="490220" cy="2235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292100</xdr:colOff>
      <xdr:row>175</xdr:row>
      <xdr:rowOff>139700</xdr:rowOff>
    </xdr:from>
    <xdr:to>
      <xdr:col>3</xdr:col>
      <xdr:colOff>508000</xdr:colOff>
      <xdr:row>178</xdr:row>
      <xdr:rowOff>50800</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a:off x="4345940" y="37500560"/>
          <a:ext cx="215900" cy="436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21</xdr:row>
      <xdr:rowOff>38100</xdr:rowOff>
    </xdr:from>
    <xdr:to>
      <xdr:col>3</xdr:col>
      <xdr:colOff>714375</xdr:colOff>
      <xdr:row>31</xdr:row>
      <xdr:rowOff>38100</xdr:rowOff>
    </xdr:to>
    <xdr:graphicFrame macro="">
      <xdr:nvGraphicFramePr>
        <xdr:cNvPr id="25" name="Chart 3">
          <a:extLst>
            <a:ext uri="{FF2B5EF4-FFF2-40B4-BE49-F238E27FC236}">
              <a16:creationId xmlns:a16="http://schemas.microsoft.com/office/drawing/2014/main" id="{DD82225E-3A93-4FAC-A2CB-6CEE2434F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123825</xdr:colOff>
      <xdr:row>72</xdr:row>
      <xdr:rowOff>57150</xdr:rowOff>
    </xdr:from>
    <xdr:to>
      <xdr:col>3</xdr:col>
      <xdr:colOff>511175</xdr:colOff>
      <xdr:row>74</xdr:row>
      <xdr:rowOff>38100</xdr:rowOff>
    </xdr:to>
    <xdr:sp macro="" textlink="">
      <xdr:nvSpPr>
        <xdr:cNvPr id="27" name="TextBox 26">
          <a:extLst>
            <a:ext uri="{FF2B5EF4-FFF2-40B4-BE49-F238E27FC236}">
              <a16:creationId xmlns:a16="http://schemas.microsoft.com/office/drawing/2014/main" id="{58E84D45-FD6A-4EC6-8031-6ACBB9642462}"/>
            </a:ext>
          </a:extLst>
        </xdr:cNvPr>
        <xdr:cNvSpPr txBox="1"/>
      </xdr:nvSpPr>
      <xdr:spPr>
        <a:xfrm>
          <a:off x="1971675" y="13430250"/>
          <a:ext cx="26733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rgbClr val="00B050"/>
              </a:solidFill>
              <a:effectLst/>
              <a:latin typeface="+mn-lt"/>
              <a:ea typeface="+mn-ea"/>
              <a:cs typeface="+mn-cs"/>
            </a:rPr>
            <a:t>Green  </a:t>
          </a:r>
          <a:r>
            <a:rPr lang="en-AU" sz="1100" b="0" i="0" u="none" strike="noStrike">
              <a:solidFill>
                <a:srgbClr val="00B050"/>
              </a:solidFill>
              <a:effectLst/>
              <a:latin typeface="+mn-lt"/>
              <a:ea typeface="+mn-ea"/>
              <a:cs typeface="+mn-cs"/>
            </a:rPr>
            <a:t>font </a:t>
          </a:r>
          <a:r>
            <a:rPr lang="en-AU" sz="1100" b="0" i="0" u="none" strike="noStrike">
              <a:solidFill>
                <a:schemeClr val="dk1"/>
              </a:solidFill>
              <a:effectLst/>
              <a:latin typeface="+mn-lt"/>
              <a:ea typeface="+mn-ea"/>
              <a:cs typeface="+mn-cs"/>
            </a:rPr>
            <a:t>= Data from other worksheets</a:t>
          </a:r>
          <a:endParaRPr lang="en-AU" sz="1100"/>
        </a:p>
      </xdr:txBody>
    </xdr:sp>
    <xdr:clientData/>
  </xdr:twoCellAnchor>
  <xdr:twoCellAnchor>
    <xdr:from>
      <xdr:col>2</xdr:col>
      <xdr:colOff>695325</xdr:colOff>
      <xdr:row>2</xdr:row>
      <xdr:rowOff>304800</xdr:rowOff>
    </xdr:from>
    <xdr:to>
      <xdr:col>3</xdr:col>
      <xdr:colOff>158750</xdr:colOff>
      <xdr:row>4</xdr:row>
      <xdr:rowOff>66675</xdr:rowOff>
    </xdr:to>
    <xdr:cxnSp macro="">
      <xdr:nvCxnSpPr>
        <xdr:cNvPr id="38" name="Straight Arrow Connector 37">
          <a:extLst>
            <a:ext uri="{FF2B5EF4-FFF2-40B4-BE49-F238E27FC236}">
              <a16:creationId xmlns:a16="http://schemas.microsoft.com/office/drawing/2014/main" id="{A2EDBD27-64EF-4F4C-8583-9603EC7CA01E}"/>
            </a:ext>
          </a:extLst>
        </xdr:cNvPr>
        <xdr:cNvCxnSpPr/>
      </xdr:nvCxnSpPr>
      <xdr:spPr>
        <a:xfrm flipV="1">
          <a:off x="4048125" y="1085850"/>
          <a:ext cx="635000" cy="40005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31</xdr:row>
      <xdr:rowOff>92075</xdr:rowOff>
    </xdr:from>
    <xdr:to>
      <xdr:col>3</xdr:col>
      <xdr:colOff>752475</xdr:colOff>
      <xdr:row>42</xdr:row>
      <xdr:rowOff>133350</xdr:rowOff>
    </xdr:to>
    <xdr:graphicFrame macro="">
      <xdr:nvGraphicFramePr>
        <xdr:cNvPr id="2" name="Chart 1">
          <a:extLst>
            <a:ext uri="{FF2B5EF4-FFF2-40B4-BE49-F238E27FC236}">
              <a16:creationId xmlns:a16="http://schemas.microsoft.com/office/drawing/2014/main" id="{F3A8BC45-BBFA-4FC1-955C-6565CC060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73025</xdr:colOff>
      <xdr:row>42</xdr:row>
      <xdr:rowOff>200025</xdr:rowOff>
    </xdr:from>
    <xdr:to>
      <xdr:col>3</xdr:col>
      <xdr:colOff>771525</xdr:colOff>
      <xdr:row>52</xdr:row>
      <xdr:rowOff>114300</xdr:rowOff>
    </xdr:to>
    <xdr:graphicFrame macro="">
      <xdr:nvGraphicFramePr>
        <xdr:cNvPr id="3" name="Chart 2">
          <a:extLst>
            <a:ext uri="{FF2B5EF4-FFF2-40B4-BE49-F238E27FC236}">
              <a16:creationId xmlns:a16="http://schemas.microsoft.com/office/drawing/2014/main" id="{522BB668-E8E4-47EB-9DCC-08E2745F4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885825</xdr:colOff>
      <xdr:row>39</xdr:row>
      <xdr:rowOff>149225</xdr:rowOff>
    </xdr:from>
    <xdr:to>
      <xdr:col>9</xdr:col>
      <xdr:colOff>190500</xdr:colOff>
      <xdr:row>52</xdr:row>
      <xdr:rowOff>107948</xdr:rowOff>
    </xdr:to>
    <xdr:graphicFrame macro="">
      <xdr:nvGraphicFramePr>
        <xdr:cNvPr id="4" name="Chart 4">
          <a:extLst>
            <a:ext uri="{FF2B5EF4-FFF2-40B4-BE49-F238E27FC236}">
              <a16:creationId xmlns:a16="http://schemas.microsoft.com/office/drawing/2014/main" id="{595E54F7-4565-433F-84FA-BD0C71098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793748</xdr:colOff>
      <xdr:row>21</xdr:row>
      <xdr:rowOff>45086</xdr:rowOff>
    </xdr:from>
    <xdr:to>
      <xdr:col>9</xdr:col>
      <xdr:colOff>228600</xdr:colOff>
      <xdr:row>31</xdr:row>
      <xdr:rowOff>9525</xdr:rowOff>
    </xdr:to>
    <xdr:graphicFrame macro="">
      <xdr:nvGraphicFramePr>
        <xdr:cNvPr id="5" name="Chart 3">
          <a:extLst>
            <a:ext uri="{FF2B5EF4-FFF2-40B4-BE49-F238E27FC236}">
              <a16:creationId xmlns:a16="http://schemas.microsoft.com/office/drawing/2014/main" id="{6ADCE95A-6BC6-47AF-8471-DE62130A5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76202</xdr:colOff>
      <xdr:row>53</xdr:row>
      <xdr:rowOff>38100</xdr:rowOff>
    </xdr:from>
    <xdr:to>
      <xdr:col>3</xdr:col>
      <xdr:colOff>149226</xdr:colOff>
      <xdr:row>61</xdr:row>
      <xdr:rowOff>180975</xdr:rowOff>
    </xdr:to>
    <xdr:graphicFrame macro="">
      <xdr:nvGraphicFramePr>
        <xdr:cNvPr id="6" name="Chart 2">
          <a:extLst>
            <a:ext uri="{FF2B5EF4-FFF2-40B4-BE49-F238E27FC236}">
              <a16:creationId xmlns:a16="http://schemas.microsoft.com/office/drawing/2014/main" id="{5E38226F-B9B4-4C39-B085-0C641C38C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333376</xdr:colOff>
      <xdr:row>53</xdr:row>
      <xdr:rowOff>0</xdr:rowOff>
    </xdr:from>
    <xdr:to>
      <xdr:col>6</xdr:col>
      <xdr:colOff>400052</xdr:colOff>
      <xdr:row>61</xdr:row>
      <xdr:rowOff>104775</xdr:rowOff>
    </xdr:to>
    <xdr:graphicFrame macro="">
      <xdr:nvGraphicFramePr>
        <xdr:cNvPr id="7" name="Chart 2">
          <a:extLst>
            <a:ext uri="{FF2B5EF4-FFF2-40B4-BE49-F238E27FC236}">
              <a16:creationId xmlns:a16="http://schemas.microsoft.com/office/drawing/2014/main" id="{70D060FA-4716-436D-8282-C0C911788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514352</xdr:colOff>
      <xdr:row>53</xdr:row>
      <xdr:rowOff>6351</xdr:rowOff>
    </xdr:from>
    <xdr:to>
      <xdr:col>9</xdr:col>
      <xdr:colOff>733425</xdr:colOff>
      <xdr:row>61</xdr:row>
      <xdr:rowOff>104775</xdr:rowOff>
    </xdr:to>
    <xdr:graphicFrame macro="">
      <xdr:nvGraphicFramePr>
        <xdr:cNvPr id="8" name="Chart 2">
          <a:extLst>
            <a:ext uri="{FF2B5EF4-FFF2-40B4-BE49-F238E27FC236}">
              <a16:creationId xmlns:a16="http://schemas.microsoft.com/office/drawing/2014/main" id="{4147DD22-E050-4B30-96DA-B6C637110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141605</xdr:colOff>
      <xdr:row>32</xdr:row>
      <xdr:rowOff>104776</xdr:rowOff>
    </xdr:from>
    <xdr:to>
      <xdr:col>8</xdr:col>
      <xdr:colOff>200025</xdr:colOff>
      <xdr:row>35</xdr:row>
      <xdr:rowOff>25401</xdr:rowOff>
    </xdr:to>
    <xdr:sp macro="" textlink="">
      <xdr:nvSpPr>
        <xdr:cNvPr id="9" name="TextBox 8">
          <a:extLst>
            <a:ext uri="{FF2B5EF4-FFF2-40B4-BE49-F238E27FC236}">
              <a16:creationId xmlns:a16="http://schemas.microsoft.com/office/drawing/2014/main" id="{80EDF271-D074-47D9-BF61-346468F73360}"/>
            </a:ext>
          </a:extLst>
        </xdr:cNvPr>
        <xdr:cNvSpPr txBox="1"/>
      </xdr:nvSpPr>
      <xdr:spPr>
        <a:xfrm>
          <a:off x="5564505" y="7616826"/>
          <a:ext cx="3633470"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accent6">
                  <a:lumMod val="75000"/>
                </a:schemeClr>
              </a:solidFill>
            </a:rPr>
            <a:t>This is the best graph to  quickly understand the economics and health of  the business.</a:t>
          </a:r>
        </a:p>
      </xdr:txBody>
    </xdr:sp>
    <xdr:clientData/>
  </xdr:twoCellAnchor>
  <xdr:twoCellAnchor>
    <xdr:from>
      <xdr:col>3</xdr:col>
      <xdr:colOff>628650</xdr:colOff>
      <xdr:row>33</xdr:row>
      <xdr:rowOff>30704</xdr:rowOff>
    </xdr:from>
    <xdr:to>
      <xdr:col>4</xdr:col>
      <xdr:colOff>144482</xdr:colOff>
      <xdr:row>34</xdr:row>
      <xdr:rowOff>180975</xdr:rowOff>
    </xdr:to>
    <xdr:cxnSp macro="">
      <xdr:nvCxnSpPr>
        <xdr:cNvPr id="10" name="Straight Arrow Connector 9">
          <a:extLst>
            <a:ext uri="{FF2B5EF4-FFF2-40B4-BE49-F238E27FC236}">
              <a16:creationId xmlns:a16="http://schemas.microsoft.com/office/drawing/2014/main" id="{386C605F-A947-4A02-B8A9-C0ED8512F2DA}"/>
            </a:ext>
          </a:extLst>
        </xdr:cNvPr>
        <xdr:cNvCxnSpPr/>
      </xdr:nvCxnSpPr>
      <xdr:spPr>
        <a:xfrm flipH="1">
          <a:off x="5153025" y="7761829"/>
          <a:ext cx="408007" cy="369346"/>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2</xdr:row>
      <xdr:rowOff>149226</xdr:rowOff>
    </xdr:from>
    <xdr:to>
      <xdr:col>8</xdr:col>
      <xdr:colOff>838200</xdr:colOff>
      <xdr:row>8</xdr:row>
      <xdr:rowOff>152400</xdr:rowOff>
    </xdr:to>
    <xdr:sp macro="" textlink="">
      <xdr:nvSpPr>
        <xdr:cNvPr id="11" name="TextBox 10">
          <a:extLst>
            <a:ext uri="{FF2B5EF4-FFF2-40B4-BE49-F238E27FC236}">
              <a16:creationId xmlns:a16="http://schemas.microsoft.com/office/drawing/2014/main" id="{C78DBD7B-4E9A-41AA-9B08-C84CF58BE0DC}"/>
            </a:ext>
          </a:extLst>
        </xdr:cNvPr>
        <xdr:cNvSpPr txBox="1"/>
      </xdr:nvSpPr>
      <xdr:spPr>
        <a:xfrm>
          <a:off x="4638675" y="930276"/>
          <a:ext cx="5200650" cy="1441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AU" sz="1100" b="0">
              <a:solidFill>
                <a:schemeClr val="accent6">
                  <a:lumMod val="75000"/>
                </a:schemeClr>
              </a:solidFill>
              <a:latin typeface="+mn-lt"/>
              <a:ea typeface="+mn-ea"/>
              <a:cs typeface="+mn-cs"/>
            </a:rPr>
            <a:t>Do not be obsessed with the final NPV number.  Instead assess the profile of the cumulative NPV.  A lower NPV but higher IRR with lower risk may be a far better choice!</a:t>
          </a:r>
        </a:p>
        <a:p>
          <a:pPr marL="0" indent="0"/>
          <a:endParaRPr lang="en-AU" sz="1100" b="0">
            <a:solidFill>
              <a:schemeClr val="accent6">
                <a:lumMod val="75000"/>
              </a:schemeClr>
            </a:solidFill>
            <a:latin typeface="+mn-lt"/>
            <a:ea typeface="+mn-ea"/>
            <a:cs typeface="+mn-cs"/>
          </a:endParaRPr>
        </a:p>
        <a:p>
          <a:pPr marL="0" indent="0"/>
          <a:r>
            <a:rPr lang="en-AU" sz="1100" b="0">
              <a:solidFill>
                <a:schemeClr val="accent6">
                  <a:lumMod val="75000"/>
                </a:schemeClr>
              </a:solidFill>
              <a:latin typeface="+mn-lt"/>
              <a:ea typeface="+mn-ea"/>
              <a:cs typeface="+mn-cs"/>
            </a:rPr>
            <a:t>Test each</a:t>
          </a:r>
          <a:r>
            <a:rPr lang="en-AU" sz="1100" b="0" baseline="0">
              <a:solidFill>
                <a:schemeClr val="accent6">
                  <a:lumMod val="75000"/>
                </a:schemeClr>
              </a:solidFill>
              <a:latin typeface="+mn-lt"/>
              <a:ea typeface="+mn-ea"/>
              <a:cs typeface="+mn-cs"/>
            </a:rPr>
            <a:t> case under favourable and unfavourable scenarios to see which is the most flexible and robust.</a:t>
          </a:r>
        </a:p>
        <a:p>
          <a:pPr marL="0" indent="0"/>
          <a:endParaRPr lang="en-AU" sz="1100" b="0" baseline="0">
            <a:solidFill>
              <a:schemeClr val="accent6">
                <a:lumMod val="75000"/>
              </a:schemeClr>
            </a:solidFill>
            <a:latin typeface="+mn-lt"/>
            <a:ea typeface="+mn-ea"/>
            <a:cs typeface="+mn-cs"/>
          </a:endParaRPr>
        </a:p>
        <a:p>
          <a:pPr marL="0" indent="0"/>
          <a:r>
            <a:rPr lang="en-AU" sz="1100" b="0" baseline="0">
              <a:solidFill>
                <a:schemeClr val="accent6">
                  <a:lumMod val="75000"/>
                </a:schemeClr>
              </a:solidFill>
              <a:latin typeface="+mn-lt"/>
              <a:ea typeface="+mn-ea"/>
              <a:cs typeface="+mn-cs"/>
            </a:rPr>
            <a:t>Present the profiles, advantages and disadvantages of each.</a:t>
          </a:r>
          <a:endParaRPr lang="en-AU" sz="1100" b="0">
            <a:solidFill>
              <a:schemeClr val="accent6">
                <a:lumMod val="75000"/>
              </a:schemeClr>
            </a:solidFill>
            <a:latin typeface="+mn-lt"/>
            <a:ea typeface="+mn-ea"/>
            <a:cs typeface="+mn-cs"/>
          </a:endParaRPr>
        </a:p>
      </xdr:txBody>
    </xdr:sp>
    <xdr:clientData/>
  </xdr:twoCellAnchor>
  <xdr:twoCellAnchor>
    <xdr:from>
      <xdr:col>6</xdr:col>
      <xdr:colOff>705224</xdr:colOff>
      <xdr:row>3</xdr:row>
      <xdr:rowOff>132528</xdr:rowOff>
    </xdr:from>
    <xdr:to>
      <xdr:col>8</xdr:col>
      <xdr:colOff>28575</xdr:colOff>
      <xdr:row>23</xdr:row>
      <xdr:rowOff>142875</xdr:rowOff>
    </xdr:to>
    <xdr:cxnSp macro="">
      <xdr:nvCxnSpPr>
        <xdr:cNvPr id="12" name="Straight Arrow Connector 11">
          <a:extLst>
            <a:ext uri="{FF2B5EF4-FFF2-40B4-BE49-F238E27FC236}">
              <a16:creationId xmlns:a16="http://schemas.microsoft.com/office/drawing/2014/main" id="{9CFD476C-53A8-4770-9B9E-1DE40D38F0D3}"/>
            </a:ext>
          </a:extLst>
        </xdr:cNvPr>
        <xdr:cNvCxnSpPr/>
      </xdr:nvCxnSpPr>
      <xdr:spPr>
        <a:xfrm>
          <a:off x="7915649" y="1323153"/>
          <a:ext cx="1110876" cy="4360097"/>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120</xdr:row>
      <xdr:rowOff>104775</xdr:rowOff>
    </xdr:from>
    <xdr:to>
      <xdr:col>3</xdr:col>
      <xdr:colOff>200025</xdr:colOff>
      <xdr:row>121</xdr:row>
      <xdr:rowOff>57150</xdr:rowOff>
    </xdr:to>
    <xdr:cxnSp macro="">
      <xdr:nvCxnSpPr>
        <xdr:cNvPr id="13" name="Straight Arrow Connector 12">
          <a:extLst>
            <a:ext uri="{FF2B5EF4-FFF2-40B4-BE49-F238E27FC236}">
              <a16:creationId xmlns:a16="http://schemas.microsoft.com/office/drawing/2014/main" id="{79E3720E-79C9-4697-901B-CD1CFFEF44EF}"/>
            </a:ext>
          </a:extLst>
        </xdr:cNvPr>
        <xdr:cNvCxnSpPr/>
      </xdr:nvCxnSpPr>
      <xdr:spPr>
        <a:xfrm>
          <a:off x="3543300" y="25019000"/>
          <a:ext cx="1177925" cy="117475"/>
        </a:xfrm>
        <a:prstGeom prst="straightConnector1">
          <a:avLst/>
        </a:prstGeom>
        <a:ln>
          <a:solidFill>
            <a:schemeClr val="accent6">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254</xdr:row>
      <xdr:rowOff>76200</xdr:rowOff>
    </xdr:from>
    <xdr:to>
      <xdr:col>11</xdr:col>
      <xdr:colOff>330200</xdr:colOff>
      <xdr:row>256</xdr:row>
      <xdr:rowOff>476250</xdr:rowOff>
    </xdr:to>
    <xdr:sp macro="" textlink="">
      <xdr:nvSpPr>
        <xdr:cNvPr id="14" name="TextBox 13">
          <a:extLst>
            <a:ext uri="{FF2B5EF4-FFF2-40B4-BE49-F238E27FC236}">
              <a16:creationId xmlns:a16="http://schemas.microsoft.com/office/drawing/2014/main" id="{FDD54B69-8582-4C3C-989A-25D84FD1348D}"/>
            </a:ext>
          </a:extLst>
        </xdr:cNvPr>
        <xdr:cNvSpPr txBox="1"/>
      </xdr:nvSpPr>
      <xdr:spPr>
        <a:xfrm>
          <a:off x="5114925" y="48263175"/>
          <a:ext cx="6905625"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AU" sz="1200" b="0">
              <a:solidFill>
                <a:schemeClr val="accent6">
                  <a:lumMod val="75000"/>
                </a:schemeClr>
              </a:solidFill>
            </a:rPr>
            <a:t>IRR measures</a:t>
          </a:r>
          <a:r>
            <a:rPr lang="en-AU" sz="1200" b="0" baseline="0">
              <a:solidFill>
                <a:schemeClr val="accent6">
                  <a:lumMod val="75000"/>
                </a:schemeClr>
              </a:solidFill>
            </a:rPr>
            <a:t> the </a:t>
          </a:r>
          <a:r>
            <a:rPr lang="en-AU" sz="1400" b="1" baseline="0">
              <a:solidFill>
                <a:schemeClr val="accent6">
                  <a:lumMod val="75000"/>
                </a:schemeClr>
              </a:solidFill>
            </a:rPr>
            <a:t>quality</a:t>
          </a:r>
          <a:r>
            <a:rPr lang="en-AU" sz="1200" b="0" baseline="0">
              <a:solidFill>
                <a:schemeClr val="accent6">
                  <a:lumMod val="75000"/>
                </a:schemeClr>
              </a:solidFill>
            </a:rPr>
            <a:t> and internal cash generating power of the investment whereas </a:t>
          </a:r>
        </a:p>
        <a:p>
          <a:pPr>
            <a:lnSpc>
              <a:spcPts val="1700"/>
            </a:lnSpc>
          </a:pPr>
          <a:r>
            <a:rPr lang="en-AU" sz="1200" b="0" baseline="0">
              <a:solidFill>
                <a:schemeClr val="accent6">
                  <a:lumMod val="75000"/>
                </a:schemeClr>
              </a:solidFill>
            </a:rPr>
            <a:t>NPV measures the </a:t>
          </a:r>
          <a:r>
            <a:rPr lang="en-AU" sz="1400" b="1" baseline="0">
              <a:solidFill>
                <a:schemeClr val="accent6">
                  <a:lumMod val="75000"/>
                </a:schemeClr>
              </a:solidFill>
              <a:latin typeface="+mn-lt"/>
              <a:ea typeface="+mn-ea"/>
              <a:cs typeface="+mn-cs"/>
            </a:rPr>
            <a:t>quantity.</a:t>
          </a:r>
          <a:r>
            <a:rPr lang="en-AU" sz="1200" b="0" baseline="0">
              <a:solidFill>
                <a:schemeClr val="accent6">
                  <a:lumMod val="75000"/>
                </a:schemeClr>
              </a:solidFill>
            </a:rPr>
            <a:t>   </a:t>
          </a:r>
        </a:p>
        <a:p>
          <a:pPr>
            <a:lnSpc>
              <a:spcPts val="1700"/>
            </a:lnSpc>
          </a:pPr>
          <a:r>
            <a:rPr lang="en-AU" sz="1200" b="0" baseline="0">
              <a:solidFill>
                <a:schemeClr val="accent6">
                  <a:lumMod val="75000"/>
                </a:schemeClr>
              </a:solidFill>
            </a:rPr>
            <a:t>Use a full basket of measures including payback, flexibility, adapting to weak and strong markets, strengths and weaknesses, position on industry cost curve, competitiveness, technology,  etc      </a:t>
          </a:r>
          <a:endParaRPr lang="en-AU" sz="1200" b="0">
            <a:solidFill>
              <a:schemeClr val="accent6">
                <a:lumMod val="75000"/>
              </a:schemeClr>
            </a:solidFill>
          </a:endParaRPr>
        </a:p>
      </xdr:txBody>
    </xdr:sp>
    <xdr:clientData/>
  </xdr:twoCellAnchor>
  <xdr:twoCellAnchor>
    <xdr:from>
      <xdr:col>2</xdr:col>
      <xdr:colOff>981710</xdr:colOff>
      <xdr:row>254</xdr:row>
      <xdr:rowOff>266700</xdr:rowOff>
    </xdr:from>
    <xdr:to>
      <xdr:col>3</xdr:col>
      <xdr:colOff>666750</xdr:colOff>
      <xdr:row>255</xdr:row>
      <xdr:rowOff>106680</xdr:rowOff>
    </xdr:to>
    <xdr:cxnSp macro="">
      <xdr:nvCxnSpPr>
        <xdr:cNvPr id="15" name="Straight Arrow Connector 14">
          <a:extLst>
            <a:ext uri="{FF2B5EF4-FFF2-40B4-BE49-F238E27FC236}">
              <a16:creationId xmlns:a16="http://schemas.microsoft.com/office/drawing/2014/main" id="{F6762BCD-86EC-461D-B632-5730DF0B218F}"/>
            </a:ext>
          </a:extLst>
        </xdr:cNvPr>
        <xdr:cNvCxnSpPr/>
      </xdr:nvCxnSpPr>
      <xdr:spPr>
        <a:xfrm flipH="1">
          <a:off x="4331335" y="48453675"/>
          <a:ext cx="859790" cy="32258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829310</xdr:colOff>
      <xdr:row>255</xdr:row>
      <xdr:rowOff>9525</xdr:rowOff>
    </xdr:from>
    <xdr:to>
      <xdr:col>3</xdr:col>
      <xdr:colOff>600075</xdr:colOff>
      <xdr:row>264</xdr:row>
      <xdr:rowOff>121920</xdr:rowOff>
    </xdr:to>
    <xdr:cxnSp macro="">
      <xdr:nvCxnSpPr>
        <xdr:cNvPr id="16" name="Straight Arrow Connector 15">
          <a:extLst>
            <a:ext uri="{FF2B5EF4-FFF2-40B4-BE49-F238E27FC236}">
              <a16:creationId xmlns:a16="http://schemas.microsoft.com/office/drawing/2014/main" id="{FEEF2703-3FC2-43B3-9DF4-B979753405BE}"/>
            </a:ext>
          </a:extLst>
        </xdr:cNvPr>
        <xdr:cNvCxnSpPr/>
      </xdr:nvCxnSpPr>
      <xdr:spPr>
        <a:xfrm flipH="1">
          <a:off x="4178935" y="48679100"/>
          <a:ext cx="942340" cy="201422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21</xdr:row>
      <xdr:rowOff>38100</xdr:rowOff>
    </xdr:from>
    <xdr:to>
      <xdr:col>3</xdr:col>
      <xdr:colOff>714375</xdr:colOff>
      <xdr:row>31</xdr:row>
      <xdr:rowOff>38100</xdr:rowOff>
    </xdr:to>
    <xdr:graphicFrame macro="">
      <xdr:nvGraphicFramePr>
        <xdr:cNvPr id="19" name="Chart 3">
          <a:extLst>
            <a:ext uri="{FF2B5EF4-FFF2-40B4-BE49-F238E27FC236}">
              <a16:creationId xmlns:a16="http://schemas.microsoft.com/office/drawing/2014/main" id="{33BE8306-D39F-4F66-A6ED-83A9079C8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123825</xdr:colOff>
      <xdr:row>72</xdr:row>
      <xdr:rowOff>57150</xdr:rowOff>
    </xdr:from>
    <xdr:to>
      <xdr:col>3</xdr:col>
      <xdr:colOff>511175</xdr:colOff>
      <xdr:row>74</xdr:row>
      <xdr:rowOff>38100</xdr:rowOff>
    </xdr:to>
    <xdr:sp macro="" textlink="">
      <xdr:nvSpPr>
        <xdr:cNvPr id="20" name="TextBox 19">
          <a:extLst>
            <a:ext uri="{FF2B5EF4-FFF2-40B4-BE49-F238E27FC236}">
              <a16:creationId xmlns:a16="http://schemas.microsoft.com/office/drawing/2014/main" id="{44533311-872E-4C2B-9756-728F9DBFDD22}"/>
            </a:ext>
          </a:extLst>
        </xdr:cNvPr>
        <xdr:cNvSpPr txBox="1"/>
      </xdr:nvSpPr>
      <xdr:spPr>
        <a:xfrm>
          <a:off x="2359025" y="16363950"/>
          <a:ext cx="26765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rgbClr val="00B050"/>
              </a:solidFill>
              <a:effectLst/>
              <a:latin typeface="+mn-lt"/>
              <a:ea typeface="+mn-ea"/>
              <a:cs typeface="+mn-cs"/>
            </a:rPr>
            <a:t>Green  </a:t>
          </a:r>
          <a:r>
            <a:rPr lang="en-AU" sz="1100" b="0" i="0" u="none" strike="noStrike">
              <a:solidFill>
                <a:srgbClr val="00B050"/>
              </a:solidFill>
              <a:effectLst/>
              <a:latin typeface="+mn-lt"/>
              <a:ea typeface="+mn-ea"/>
              <a:cs typeface="+mn-cs"/>
            </a:rPr>
            <a:t>font </a:t>
          </a:r>
          <a:r>
            <a:rPr lang="en-AU" sz="1100" b="0" i="0" u="none" strike="noStrike">
              <a:solidFill>
                <a:schemeClr val="dk1"/>
              </a:solidFill>
              <a:effectLst/>
              <a:latin typeface="+mn-lt"/>
              <a:ea typeface="+mn-ea"/>
              <a:cs typeface="+mn-cs"/>
            </a:rPr>
            <a:t>= Data from other worksheets</a:t>
          </a:r>
          <a:endParaRPr lang="en-AU" sz="1100"/>
        </a:p>
      </xdr:txBody>
    </xdr:sp>
    <xdr:clientData/>
  </xdr:twoCellAnchor>
  <xdr:twoCellAnchor>
    <xdr:from>
      <xdr:col>2</xdr:col>
      <xdr:colOff>695325</xdr:colOff>
      <xdr:row>2</xdr:row>
      <xdr:rowOff>304800</xdr:rowOff>
    </xdr:from>
    <xdr:to>
      <xdr:col>3</xdr:col>
      <xdr:colOff>158750</xdr:colOff>
      <xdr:row>4</xdr:row>
      <xdr:rowOff>66675</xdr:rowOff>
    </xdr:to>
    <xdr:cxnSp macro="">
      <xdr:nvCxnSpPr>
        <xdr:cNvPr id="21" name="Straight Arrow Connector 20">
          <a:extLst>
            <a:ext uri="{FF2B5EF4-FFF2-40B4-BE49-F238E27FC236}">
              <a16:creationId xmlns:a16="http://schemas.microsoft.com/office/drawing/2014/main" id="{3D9DDA61-8930-4071-9CF4-B2845DD51914}"/>
            </a:ext>
          </a:extLst>
        </xdr:cNvPr>
        <xdr:cNvCxnSpPr/>
      </xdr:nvCxnSpPr>
      <xdr:spPr>
        <a:xfrm flipV="1">
          <a:off x="4044950" y="1085850"/>
          <a:ext cx="641350" cy="396875"/>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31</xdr:row>
      <xdr:rowOff>92075</xdr:rowOff>
    </xdr:from>
    <xdr:to>
      <xdr:col>3</xdr:col>
      <xdr:colOff>752475</xdr:colOff>
      <xdr:row>42</xdr:row>
      <xdr:rowOff>133350</xdr:rowOff>
    </xdr:to>
    <xdr:graphicFrame macro="">
      <xdr:nvGraphicFramePr>
        <xdr:cNvPr id="2" name="Chart 1">
          <a:extLst>
            <a:ext uri="{FF2B5EF4-FFF2-40B4-BE49-F238E27FC236}">
              <a16:creationId xmlns:a16="http://schemas.microsoft.com/office/drawing/2014/main" id="{EAD72C42-4D0C-4593-90B9-A968BCCFD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73025</xdr:colOff>
      <xdr:row>42</xdr:row>
      <xdr:rowOff>200025</xdr:rowOff>
    </xdr:from>
    <xdr:to>
      <xdr:col>3</xdr:col>
      <xdr:colOff>771525</xdr:colOff>
      <xdr:row>52</xdr:row>
      <xdr:rowOff>114300</xdr:rowOff>
    </xdr:to>
    <xdr:graphicFrame macro="">
      <xdr:nvGraphicFramePr>
        <xdr:cNvPr id="3" name="Chart 2">
          <a:extLst>
            <a:ext uri="{FF2B5EF4-FFF2-40B4-BE49-F238E27FC236}">
              <a16:creationId xmlns:a16="http://schemas.microsoft.com/office/drawing/2014/main" id="{C45EB4CC-6B8B-4B38-B896-AD8DAF805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885825</xdr:colOff>
      <xdr:row>39</xdr:row>
      <xdr:rowOff>149225</xdr:rowOff>
    </xdr:from>
    <xdr:to>
      <xdr:col>9</xdr:col>
      <xdr:colOff>190500</xdr:colOff>
      <xdr:row>52</xdr:row>
      <xdr:rowOff>107948</xdr:rowOff>
    </xdr:to>
    <xdr:graphicFrame macro="">
      <xdr:nvGraphicFramePr>
        <xdr:cNvPr id="4" name="Chart 4">
          <a:extLst>
            <a:ext uri="{FF2B5EF4-FFF2-40B4-BE49-F238E27FC236}">
              <a16:creationId xmlns:a16="http://schemas.microsoft.com/office/drawing/2014/main" id="{BF0993BF-4B9D-4C65-A088-72A5ED6B5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793748</xdr:colOff>
      <xdr:row>21</xdr:row>
      <xdr:rowOff>45086</xdr:rowOff>
    </xdr:from>
    <xdr:to>
      <xdr:col>9</xdr:col>
      <xdr:colOff>228600</xdr:colOff>
      <xdr:row>31</xdr:row>
      <xdr:rowOff>9525</xdr:rowOff>
    </xdr:to>
    <xdr:graphicFrame macro="">
      <xdr:nvGraphicFramePr>
        <xdr:cNvPr id="5" name="Chart 3">
          <a:extLst>
            <a:ext uri="{FF2B5EF4-FFF2-40B4-BE49-F238E27FC236}">
              <a16:creationId xmlns:a16="http://schemas.microsoft.com/office/drawing/2014/main" id="{E63BF016-3256-4194-8556-8C621DF55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76202</xdr:colOff>
      <xdr:row>53</xdr:row>
      <xdr:rowOff>38100</xdr:rowOff>
    </xdr:from>
    <xdr:to>
      <xdr:col>3</xdr:col>
      <xdr:colOff>149226</xdr:colOff>
      <xdr:row>61</xdr:row>
      <xdr:rowOff>180975</xdr:rowOff>
    </xdr:to>
    <xdr:graphicFrame macro="">
      <xdr:nvGraphicFramePr>
        <xdr:cNvPr id="6" name="Chart 2">
          <a:extLst>
            <a:ext uri="{FF2B5EF4-FFF2-40B4-BE49-F238E27FC236}">
              <a16:creationId xmlns:a16="http://schemas.microsoft.com/office/drawing/2014/main" id="{4DE59381-C6DD-42D1-9997-C2F2C9FD5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333376</xdr:colOff>
      <xdr:row>53</xdr:row>
      <xdr:rowOff>0</xdr:rowOff>
    </xdr:from>
    <xdr:to>
      <xdr:col>6</xdr:col>
      <xdr:colOff>400052</xdr:colOff>
      <xdr:row>61</xdr:row>
      <xdr:rowOff>104775</xdr:rowOff>
    </xdr:to>
    <xdr:graphicFrame macro="">
      <xdr:nvGraphicFramePr>
        <xdr:cNvPr id="7" name="Chart 2">
          <a:extLst>
            <a:ext uri="{FF2B5EF4-FFF2-40B4-BE49-F238E27FC236}">
              <a16:creationId xmlns:a16="http://schemas.microsoft.com/office/drawing/2014/main" id="{8140099D-FF1E-4872-AE7E-AC2E1A798C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514352</xdr:colOff>
      <xdr:row>53</xdr:row>
      <xdr:rowOff>6351</xdr:rowOff>
    </xdr:from>
    <xdr:to>
      <xdr:col>9</xdr:col>
      <xdr:colOff>733425</xdr:colOff>
      <xdr:row>61</xdr:row>
      <xdr:rowOff>104775</xdr:rowOff>
    </xdr:to>
    <xdr:graphicFrame macro="">
      <xdr:nvGraphicFramePr>
        <xdr:cNvPr id="8" name="Chart 2">
          <a:extLst>
            <a:ext uri="{FF2B5EF4-FFF2-40B4-BE49-F238E27FC236}">
              <a16:creationId xmlns:a16="http://schemas.microsoft.com/office/drawing/2014/main" id="{C7FF63C1-8EAA-4D44-B059-4315367A61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141605</xdr:colOff>
      <xdr:row>32</xdr:row>
      <xdr:rowOff>104776</xdr:rowOff>
    </xdr:from>
    <xdr:to>
      <xdr:col>8</xdr:col>
      <xdr:colOff>200025</xdr:colOff>
      <xdr:row>35</xdr:row>
      <xdr:rowOff>25401</xdr:rowOff>
    </xdr:to>
    <xdr:sp macro="" textlink="">
      <xdr:nvSpPr>
        <xdr:cNvPr id="9" name="TextBox 8">
          <a:extLst>
            <a:ext uri="{FF2B5EF4-FFF2-40B4-BE49-F238E27FC236}">
              <a16:creationId xmlns:a16="http://schemas.microsoft.com/office/drawing/2014/main" id="{8E95A78C-6160-4A0F-A68E-F2060BF3B5A9}"/>
            </a:ext>
          </a:extLst>
        </xdr:cNvPr>
        <xdr:cNvSpPr txBox="1"/>
      </xdr:nvSpPr>
      <xdr:spPr>
        <a:xfrm>
          <a:off x="5564505" y="7616826"/>
          <a:ext cx="3633470"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accent6">
                  <a:lumMod val="75000"/>
                </a:schemeClr>
              </a:solidFill>
            </a:rPr>
            <a:t>This is the best graph to  quickly understand the economics and health of  the business.</a:t>
          </a:r>
        </a:p>
      </xdr:txBody>
    </xdr:sp>
    <xdr:clientData/>
  </xdr:twoCellAnchor>
  <xdr:twoCellAnchor>
    <xdr:from>
      <xdr:col>3</xdr:col>
      <xdr:colOff>628650</xdr:colOff>
      <xdr:row>33</xdr:row>
      <xdr:rowOff>30704</xdr:rowOff>
    </xdr:from>
    <xdr:to>
      <xdr:col>4</xdr:col>
      <xdr:colOff>144482</xdr:colOff>
      <xdr:row>34</xdr:row>
      <xdr:rowOff>180975</xdr:rowOff>
    </xdr:to>
    <xdr:cxnSp macro="">
      <xdr:nvCxnSpPr>
        <xdr:cNvPr id="10" name="Straight Arrow Connector 9">
          <a:extLst>
            <a:ext uri="{FF2B5EF4-FFF2-40B4-BE49-F238E27FC236}">
              <a16:creationId xmlns:a16="http://schemas.microsoft.com/office/drawing/2014/main" id="{7515E859-C25C-4766-B160-F915091F2845}"/>
            </a:ext>
          </a:extLst>
        </xdr:cNvPr>
        <xdr:cNvCxnSpPr/>
      </xdr:nvCxnSpPr>
      <xdr:spPr>
        <a:xfrm flipH="1">
          <a:off x="5153025" y="7761829"/>
          <a:ext cx="408007" cy="369346"/>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2</xdr:row>
      <xdr:rowOff>149226</xdr:rowOff>
    </xdr:from>
    <xdr:to>
      <xdr:col>8</xdr:col>
      <xdr:colOff>838200</xdr:colOff>
      <xdr:row>8</xdr:row>
      <xdr:rowOff>152400</xdr:rowOff>
    </xdr:to>
    <xdr:sp macro="" textlink="">
      <xdr:nvSpPr>
        <xdr:cNvPr id="11" name="TextBox 10">
          <a:extLst>
            <a:ext uri="{FF2B5EF4-FFF2-40B4-BE49-F238E27FC236}">
              <a16:creationId xmlns:a16="http://schemas.microsoft.com/office/drawing/2014/main" id="{586D0F3C-FE27-40E4-B6F8-BF8FB2732513}"/>
            </a:ext>
          </a:extLst>
        </xdr:cNvPr>
        <xdr:cNvSpPr txBox="1"/>
      </xdr:nvSpPr>
      <xdr:spPr>
        <a:xfrm>
          <a:off x="4638675" y="930276"/>
          <a:ext cx="5200650" cy="1441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AU" sz="1100" b="0">
              <a:solidFill>
                <a:schemeClr val="accent6">
                  <a:lumMod val="75000"/>
                </a:schemeClr>
              </a:solidFill>
              <a:latin typeface="+mn-lt"/>
              <a:ea typeface="+mn-ea"/>
              <a:cs typeface="+mn-cs"/>
            </a:rPr>
            <a:t>Do not be obsessed with the final NPV number.  Instead assess the profile of the cumulative NPV.  A lower NPV but higher IRR with lower risk may be a far better choice!</a:t>
          </a:r>
        </a:p>
        <a:p>
          <a:pPr marL="0" indent="0"/>
          <a:endParaRPr lang="en-AU" sz="1100" b="0">
            <a:solidFill>
              <a:schemeClr val="accent6">
                <a:lumMod val="75000"/>
              </a:schemeClr>
            </a:solidFill>
            <a:latin typeface="+mn-lt"/>
            <a:ea typeface="+mn-ea"/>
            <a:cs typeface="+mn-cs"/>
          </a:endParaRPr>
        </a:p>
        <a:p>
          <a:pPr marL="0" indent="0"/>
          <a:r>
            <a:rPr lang="en-AU" sz="1100" b="0">
              <a:solidFill>
                <a:schemeClr val="accent6">
                  <a:lumMod val="75000"/>
                </a:schemeClr>
              </a:solidFill>
              <a:latin typeface="+mn-lt"/>
              <a:ea typeface="+mn-ea"/>
              <a:cs typeface="+mn-cs"/>
            </a:rPr>
            <a:t>Test each</a:t>
          </a:r>
          <a:r>
            <a:rPr lang="en-AU" sz="1100" b="0" baseline="0">
              <a:solidFill>
                <a:schemeClr val="accent6">
                  <a:lumMod val="75000"/>
                </a:schemeClr>
              </a:solidFill>
              <a:latin typeface="+mn-lt"/>
              <a:ea typeface="+mn-ea"/>
              <a:cs typeface="+mn-cs"/>
            </a:rPr>
            <a:t> case under favourable and unfavourable scenarios to see which is the most flexible and robust.</a:t>
          </a:r>
        </a:p>
        <a:p>
          <a:pPr marL="0" indent="0"/>
          <a:endParaRPr lang="en-AU" sz="1100" b="0" baseline="0">
            <a:solidFill>
              <a:schemeClr val="accent6">
                <a:lumMod val="75000"/>
              </a:schemeClr>
            </a:solidFill>
            <a:latin typeface="+mn-lt"/>
            <a:ea typeface="+mn-ea"/>
            <a:cs typeface="+mn-cs"/>
          </a:endParaRPr>
        </a:p>
        <a:p>
          <a:pPr marL="0" indent="0"/>
          <a:r>
            <a:rPr lang="en-AU" sz="1100" b="0" baseline="0">
              <a:solidFill>
                <a:schemeClr val="accent6">
                  <a:lumMod val="75000"/>
                </a:schemeClr>
              </a:solidFill>
              <a:latin typeface="+mn-lt"/>
              <a:ea typeface="+mn-ea"/>
              <a:cs typeface="+mn-cs"/>
            </a:rPr>
            <a:t>Present the profiles, advantages and disadvantages of each.</a:t>
          </a:r>
          <a:endParaRPr lang="en-AU" sz="1100" b="0">
            <a:solidFill>
              <a:schemeClr val="accent6">
                <a:lumMod val="75000"/>
              </a:schemeClr>
            </a:solidFill>
            <a:latin typeface="+mn-lt"/>
            <a:ea typeface="+mn-ea"/>
            <a:cs typeface="+mn-cs"/>
          </a:endParaRPr>
        </a:p>
      </xdr:txBody>
    </xdr:sp>
    <xdr:clientData/>
  </xdr:twoCellAnchor>
  <xdr:twoCellAnchor>
    <xdr:from>
      <xdr:col>2</xdr:col>
      <xdr:colOff>190500</xdr:colOff>
      <xdr:row>120</xdr:row>
      <xdr:rowOff>104775</xdr:rowOff>
    </xdr:from>
    <xdr:to>
      <xdr:col>3</xdr:col>
      <xdr:colOff>200025</xdr:colOff>
      <xdr:row>121</xdr:row>
      <xdr:rowOff>57150</xdr:rowOff>
    </xdr:to>
    <xdr:cxnSp macro="">
      <xdr:nvCxnSpPr>
        <xdr:cNvPr id="13" name="Straight Arrow Connector 12">
          <a:extLst>
            <a:ext uri="{FF2B5EF4-FFF2-40B4-BE49-F238E27FC236}">
              <a16:creationId xmlns:a16="http://schemas.microsoft.com/office/drawing/2014/main" id="{50FC34B8-6AB8-46EF-8C9E-AFCE67274F55}"/>
            </a:ext>
          </a:extLst>
        </xdr:cNvPr>
        <xdr:cNvCxnSpPr/>
      </xdr:nvCxnSpPr>
      <xdr:spPr>
        <a:xfrm>
          <a:off x="3543300" y="25019000"/>
          <a:ext cx="1177925" cy="117475"/>
        </a:xfrm>
        <a:prstGeom prst="straightConnector1">
          <a:avLst/>
        </a:prstGeom>
        <a:ln>
          <a:solidFill>
            <a:schemeClr val="accent6">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254</xdr:row>
      <xdr:rowOff>76200</xdr:rowOff>
    </xdr:from>
    <xdr:to>
      <xdr:col>11</xdr:col>
      <xdr:colOff>330200</xdr:colOff>
      <xdr:row>256</xdr:row>
      <xdr:rowOff>476250</xdr:rowOff>
    </xdr:to>
    <xdr:sp macro="" textlink="">
      <xdr:nvSpPr>
        <xdr:cNvPr id="14" name="TextBox 13">
          <a:extLst>
            <a:ext uri="{FF2B5EF4-FFF2-40B4-BE49-F238E27FC236}">
              <a16:creationId xmlns:a16="http://schemas.microsoft.com/office/drawing/2014/main" id="{A6EA657A-D815-431E-A967-6607E41A3B05}"/>
            </a:ext>
          </a:extLst>
        </xdr:cNvPr>
        <xdr:cNvSpPr txBox="1"/>
      </xdr:nvSpPr>
      <xdr:spPr>
        <a:xfrm>
          <a:off x="5114925" y="48263175"/>
          <a:ext cx="6905625"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AU" sz="1200" b="0">
              <a:solidFill>
                <a:schemeClr val="accent6">
                  <a:lumMod val="75000"/>
                </a:schemeClr>
              </a:solidFill>
            </a:rPr>
            <a:t>IRR measures</a:t>
          </a:r>
          <a:r>
            <a:rPr lang="en-AU" sz="1200" b="0" baseline="0">
              <a:solidFill>
                <a:schemeClr val="accent6">
                  <a:lumMod val="75000"/>
                </a:schemeClr>
              </a:solidFill>
            </a:rPr>
            <a:t> the </a:t>
          </a:r>
          <a:r>
            <a:rPr lang="en-AU" sz="1400" b="1" baseline="0">
              <a:solidFill>
                <a:schemeClr val="accent6">
                  <a:lumMod val="75000"/>
                </a:schemeClr>
              </a:solidFill>
            </a:rPr>
            <a:t>quality</a:t>
          </a:r>
          <a:r>
            <a:rPr lang="en-AU" sz="1200" b="0" baseline="0">
              <a:solidFill>
                <a:schemeClr val="accent6">
                  <a:lumMod val="75000"/>
                </a:schemeClr>
              </a:solidFill>
            </a:rPr>
            <a:t> and internal cash generating power of the investment whereas </a:t>
          </a:r>
        </a:p>
        <a:p>
          <a:pPr>
            <a:lnSpc>
              <a:spcPts val="1700"/>
            </a:lnSpc>
          </a:pPr>
          <a:r>
            <a:rPr lang="en-AU" sz="1200" b="0" baseline="0">
              <a:solidFill>
                <a:schemeClr val="accent6">
                  <a:lumMod val="75000"/>
                </a:schemeClr>
              </a:solidFill>
            </a:rPr>
            <a:t>NPV measures the </a:t>
          </a:r>
          <a:r>
            <a:rPr lang="en-AU" sz="1400" b="1" baseline="0">
              <a:solidFill>
                <a:schemeClr val="accent6">
                  <a:lumMod val="75000"/>
                </a:schemeClr>
              </a:solidFill>
              <a:latin typeface="+mn-lt"/>
              <a:ea typeface="+mn-ea"/>
              <a:cs typeface="+mn-cs"/>
            </a:rPr>
            <a:t>quantity.</a:t>
          </a:r>
          <a:r>
            <a:rPr lang="en-AU" sz="1200" b="0" baseline="0">
              <a:solidFill>
                <a:schemeClr val="accent6">
                  <a:lumMod val="75000"/>
                </a:schemeClr>
              </a:solidFill>
            </a:rPr>
            <a:t>   </a:t>
          </a:r>
        </a:p>
        <a:p>
          <a:pPr>
            <a:lnSpc>
              <a:spcPts val="1700"/>
            </a:lnSpc>
          </a:pPr>
          <a:r>
            <a:rPr lang="en-AU" sz="1200" b="0" baseline="0">
              <a:solidFill>
                <a:schemeClr val="accent6">
                  <a:lumMod val="75000"/>
                </a:schemeClr>
              </a:solidFill>
            </a:rPr>
            <a:t>Use a full basket of measures including payback, flexibility, adapting to weak and strong markets, strengths and weaknesses, position on industry cost curve, competitiveness, technology,  etc      </a:t>
          </a:r>
          <a:endParaRPr lang="en-AU" sz="1200" b="0">
            <a:solidFill>
              <a:schemeClr val="accent6">
                <a:lumMod val="75000"/>
              </a:schemeClr>
            </a:solidFill>
          </a:endParaRPr>
        </a:p>
      </xdr:txBody>
    </xdr:sp>
    <xdr:clientData/>
  </xdr:twoCellAnchor>
  <xdr:twoCellAnchor>
    <xdr:from>
      <xdr:col>2</xdr:col>
      <xdr:colOff>981710</xdr:colOff>
      <xdr:row>254</xdr:row>
      <xdr:rowOff>266700</xdr:rowOff>
    </xdr:from>
    <xdr:to>
      <xdr:col>3</xdr:col>
      <xdr:colOff>666750</xdr:colOff>
      <xdr:row>255</xdr:row>
      <xdr:rowOff>106680</xdr:rowOff>
    </xdr:to>
    <xdr:cxnSp macro="">
      <xdr:nvCxnSpPr>
        <xdr:cNvPr id="15" name="Straight Arrow Connector 14">
          <a:extLst>
            <a:ext uri="{FF2B5EF4-FFF2-40B4-BE49-F238E27FC236}">
              <a16:creationId xmlns:a16="http://schemas.microsoft.com/office/drawing/2014/main" id="{067D810B-D8F4-4EC4-B123-1597BA68DE04}"/>
            </a:ext>
          </a:extLst>
        </xdr:cNvPr>
        <xdr:cNvCxnSpPr/>
      </xdr:nvCxnSpPr>
      <xdr:spPr>
        <a:xfrm flipH="1">
          <a:off x="4331335" y="48453675"/>
          <a:ext cx="859790" cy="32258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829310</xdr:colOff>
      <xdr:row>255</xdr:row>
      <xdr:rowOff>9525</xdr:rowOff>
    </xdr:from>
    <xdr:to>
      <xdr:col>3</xdr:col>
      <xdr:colOff>600075</xdr:colOff>
      <xdr:row>264</xdr:row>
      <xdr:rowOff>121920</xdr:rowOff>
    </xdr:to>
    <xdr:cxnSp macro="">
      <xdr:nvCxnSpPr>
        <xdr:cNvPr id="16" name="Straight Arrow Connector 15">
          <a:extLst>
            <a:ext uri="{FF2B5EF4-FFF2-40B4-BE49-F238E27FC236}">
              <a16:creationId xmlns:a16="http://schemas.microsoft.com/office/drawing/2014/main" id="{4803C159-4E74-4799-850B-1639C5017987}"/>
            </a:ext>
          </a:extLst>
        </xdr:cNvPr>
        <xdr:cNvCxnSpPr/>
      </xdr:nvCxnSpPr>
      <xdr:spPr>
        <a:xfrm flipH="1">
          <a:off x="4178935" y="48679100"/>
          <a:ext cx="942340" cy="201422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21</xdr:row>
      <xdr:rowOff>38100</xdr:rowOff>
    </xdr:from>
    <xdr:to>
      <xdr:col>3</xdr:col>
      <xdr:colOff>714375</xdr:colOff>
      <xdr:row>31</xdr:row>
      <xdr:rowOff>38100</xdr:rowOff>
    </xdr:to>
    <xdr:graphicFrame macro="">
      <xdr:nvGraphicFramePr>
        <xdr:cNvPr id="19" name="Chart 3">
          <a:extLst>
            <a:ext uri="{FF2B5EF4-FFF2-40B4-BE49-F238E27FC236}">
              <a16:creationId xmlns:a16="http://schemas.microsoft.com/office/drawing/2014/main" id="{B2F5ACDF-44EC-4054-A0FC-B8ECCF79A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123825</xdr:colOff>
      <xdr:row>72</xdr:row>
      <xdr:rowOff>57150</xdr:rowOff>
    </xdr:from>
    <xdr:to>
      <xdr:col>3</xdr:col>
      <xdr:colOff>511175</xdr:colOff>
      <xdr:row>74</xdr:row>
      <xdr:rowOff>38100</xdr:rowOff>
    </xdr:to>
    <xdr:sp macro="" textlink="">
      <xdr:nvSpPr>
        <xdr:cNvPr id="20" name="TextBox 19">
          <a:extLst>
            <a:ext uri="{FF2B5EF4-FFF2-40B4-BE49-F238E27FC236}">
              <a16:creationId xmlns:a16="http://schemas.microsoft.com/office/drawing/2014/main" id="{75BF1B67-B573-45A3-84FE-D444615E2592}"/>
            </a:ext>
          </a:extLst>
        </xdr:cNvPr>
        <xdr:cNvSpPr txBox="1"/>
      </xdr:nvSpPr>
      <xdr:spPr>
        <a:xfrm>
          <a:off x="2359025" y="16363950"/>
          <a:ext cx="26765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rgbClr val="00B050"/>
              </a:solidFill>
              <a:effectLst/>
              <a:latin typeface="+mn-lt"/>
              <a:ea typeface="+mn-ea"/>
              <a:cs typeface="+mn-cs"/>
            </a:rPr>
            <a:t>Green  </a:t>
          </a:r>
          <a:r>
            <a:rPr lang="en-AU" sz="1100" b="0" i="0" u="none" strike="noStrike">
              <a:solidFill>
                <a:srgbClr val="00B050"/>
              </a:solidFill>
              <a:effectLst/>
              <a:latin typeface="+mn-lt"/>
              <a:ea typeface="+mn-ea"/>
              <a:cs typeface="+mn-cs"/>
            </a:rPr>
            <a:t>font </a:t>
          </a:r>
          <a:r>
            <a:rPr lang="en-AU" sz="1100" b="0" i="0" u="none" strike="noStrike">
              <a:solidFill>
                <a:schemeClr val="dk1"/>
              </a:solidFill>
              <a:effectLst/>
              <a:latin typeface="+mn-lt"/>
              <a:ea typeface="+mn-ea"/>
              <a:cs typeface="+mn-cs"/>
            </a:rPr>
            <a:t>= Data from other worksheets</a:t>
          </a:r>
          <a:endParaRPr lang="en-AU" sz="1100"/>
        </a:p>
      </xdr:txBody>
    </xdr:sp>
    <xdr:clientData/>
  </xdr:twoCellAnchor>
  <xdr:twoCellAnchor>
    <xdr:from>
      <xdr:col>2</xdr:col>
      <xdr:colOff>866775</xdr:colOff>
      <xdr:row>2</xdr:row>
      <xdr:rowOff>304800</xdr:rowOff>
    </xdr:from>
    <xdr:to>
      <xdr:col>3</xdr:col>
      <xdr:colOff>161925</xdr:colOff>
      <xdr:row>4</xdr:row>
      <xdr:rowOff>47625</xdr:rowOff>
    </xdr:to>
    <xdr:cxnSp macro="">
      <xdr:nvCxnSpPr>
        <xdr:cNvPr id="21" name="Straight Arrow Connector 20">
          <a:extLst>
            <a:ext uri="{FF2B5EF4-FFF2-40B4-BE49-F238E27FC236}">
              <a16:creationId xmlns:a16="http://schemas.microsoft.com/office/drawing/2014/main" id="{6362777D-7315-4C6F-998D-06799741F6FD}"/>
            </a:ext>
          </a:extLst>
        </xdr:cNvPr>
        <xdr:cNvCxnSpPr/>
      </xdr:nvCxnSpPr>
      <xdr:spPr>
        <a:xfrm flipV="1">
          <a:off x="4219575" y="1085850"/>
          <a:ext cx="466725" cy="381000"/>
        </a:xfrm>
        <a:prstGeom prst="straightConnector1">
          <a:avLst/>
        </a:prstGeom>
        <a:ln w="53975">
          <a:solidFill>
            <a:schemeClr val="accent6">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A8A74-E385-4094-83EF-AAAC61895D3D}">
  <sheetPr>
    <pageSetUpPr fitToPage="1"/>
  </sheetPr>
  <dimension ref="A1:Z39"/>
  <sheetViews>
    <sheetView tabSelected="1" zoomScaleNormal="100" workbookViewId="0">
      <selection activeCell="E3" sqref="E3"/>
    </sheetView>
  </sheetViews>
  <sheetFormatPr defaultRowHeight="14.5" x14ac:dyDescent="0.35"/>
  <cols>
    <col min="1" max="1" width="16.36328125" customWidth="1"/>
    <col min="2" max="2" width="14.453125" customWidth="1"/>
    <col min="3" max="3" width="12.7265625" customWidth="1"/>
    <col min="4" max="13" width="9.54296875" bestFit="1" customWidth="1"/>
  </cols>
  <sheetData>
    <row r="1" spans="1:26" s="87" customFormat="1" ht="23.5" x14ac:dyDescent="0.35">
      <c r="A1" s="212" t="s">
        <v>256</v>
      </c>
      <c r="B1" s="85"/>
      <c r="C1" s="85"/>
      <c r="D1" s="85"/>
      <c r="E1" s="85"/>
      <c r="F1" s="85"/>
      <c r="G1" s="85"/>
      <c r="H1" s="85"/>
      <c r="I1" s="85"/>
      <c r="J1" s="85"/>
      <c r="K1" s="85"/>
      <c r="L1" s="85"/>
      <c r="M1" s="86"/>
      <c r="N1" s="86"/>
      <c r="O1" s="86"/>
      <c r="P1" s="27"/>
      <c r="Q1" s="27"/>
      <c r="R1" s="27"/>
      <c r="S1" s="27"/>
      <c r="T1" s="27"/>
      <c r="U1" s="27"/>
      <c r="V1" s="27"/>
      <c r="W1" s="27"/>
      <c r="X1" s="27"/>
      <c r="Y1" s="27"/>
      <c r="Z1" s="27"/>
    </row>
    <row r="2" spans="1:26" s="87" customFormat="1" ht="17.25" customHeight="1" x14ac:dyDescent="0.35">
      <c r="A2" s="88" t="s">
        <v>0</v>
      </c>
      <c r="B2" s="27"/>
      <c r="C2" s="27"/>
      <c r="D2" s="27"/>
      <c r="E2" s="27"/>
      <c r="F2" s="27"/>
      <c r="G2" s="27"/>
      <c r="H2" s="27"/>
      <c r="I2" s="27"/>
      <c r="J2" s="27"/>
      <c r="K2" s="27"/>
      <c r="L2" s="27"/>
      <c r="M2" s="27"/>
      <c r="N2" s="27"/>
      <c r="O2" s="27"/>
      <c r="P2" s="27"/>
      <c r="Q2" s="27"/>
      <c r="R2" s="27"/>
      <c r="S2" s="27"/>
    </row>
    <row r="3" spans="1:26" ht="17" customHeight="1" x14ac:dyDescent="0.35">
      <c r="A3" s="89" t="s">
        <v>158</v>
      </c>
      <c r="B3" s="17"/>
      <c r="C3" s="17"/>
      <c r="D3" s="17"/>
      <c r="E3" s="17"/>
      <c r="F3" s="17"/>
      <c r="G3" s="17"/>
      <c r="H3" s="17"/>
      <c r="I3" s="17"/>
      <c r="J3" s="17"/>
      <c r="K3" s="17"/>
      <c r="L3" s="17"/>
      <c r="M3" s="17"/>
      <c r="N3" s="17"/>
      <c r="O3" s="17"/>
      <c r="P3" s="17"/>
      <c r="Q3" s="17"/>
      <c r="R3" s="17"/>
      <c r="S3" s="17"/>
    </row>
    <row r="4" spans="1:26" ht="17" customHeight="1" x14ac:dyDescent="0.45">
      <c r="A4" s="90" t="s">
        <v>159</v>
      </c>
      <c r="B4" s="17"/>
      <c r="C4" s="17"/>
      <c r="D4" s="17"/>
      <c r="E4" s="17"/>
      <c r="F4" s="17"/>
      <c r="G4" s="17"/>
      <c r="H4" s="17"/>
      <c r="I4" s="17"/>
      <c r="J4" s="17"/>
      <c r="K4" s="17"/>
      <c r="L4" s="17"/>
      <c r="M4" s="17"/>
      <c r="N4" s="17"/>
      <c r="O4" s="17"/>
      <c r="P4" s="17"/>
      <c r="Q4" s="17"/>
      <c r="R4" s="17"/>
      <c r="S4" s="17"/>
    </row>
    <row r="5" spans="1:26" s="87" customFormat="1" ht="17.25" customHeight="1" x14ac:dyDescent="0.35">
      <c r="A5" s="91" t="s">
        <v>1</v>
      </c>
      <c r="B5" s="27"/>
      <c r="C5" s="27"/>
      <c r="D5" s="27"/>
      <c r="E5" s="27"/>
      <c r="F5" s="27"/>
      <c r="G5" s="27"/>
      <c r="H5" s="27"/>
      <c r="I5" s="27"/>
      <c r="J5" s="27"/>
      <c r="K5" s="27"/>
      <c r="L5" s="27"/>
      <c r="M5" s="27"/>
      <c r="N5" s="27"/>
      <c r="O5" s="27"/>
      <c r="P5" s="27"/>
      <c r="Q5" s="27"/>
      <c r="R5" s="27"/>
      <c r="S5" s="27"/>
    </row>
    <row r="6" spans="1:26" s="6" customFormat="1" ht="17.25" customHeight="1" x14ac:dyDescent="0.45">
      <c r="A6" s="83" t="s">
        <v>109</v>
      </c>
      <c r="B6" s="13"/>
      <c r="C6" s="14"/>
      <c r="D6" s="17"/>
      <c r="E6" s="15"/>
      <c r="F6" s="16"/>
      <c r="G6" s="16"/>
      <c r="H6" s="16"/>
      <c r="I6" s="16"/>
      <c r="J6" s="16"/>
      <c r="K6" s="16"/>
      <c r="L6" s="16"/>
      <c r="M6" s="17"/>
      <c r="N6" s="17"/>
      <c r="O6" s="17"/>
      <c r="P6" s="17"/>
      <c r="Q6" s="17"/>
      <c r="R6" s="17"/>
      <c r="S6" s="17"/>
    </row>
    <row r="7" spans="1:26" s="6" customFormat="1" ht="17.25" customHeight="1" x14ac:dyDescent="0.45">
      <c r="A7" s="83" t="s">
        <v>183</v>
      </c>
      <c r="B7" s="13"/>
      <c r="C7" s="14"/>
      <c r="D7" s="17"/>
      <c r="E7" s="15"/>
      <c r="F7" s="16"/>
      <c r="G7" s="16"/>
      <c r="H7" s="16"/>
      <c r="I7" s="16"/>
      <c r="J7" s="16"/>
      <c r="K7" s="16"/>
      <c r="L7" s="16"/>
      <c r="M7" s="17"/>
      <c r="N7" s="17"/>
      <c r="O7" s="17"/>
      <c r="P7" s="17"/>
      <c r="Q7" s="17"/>
      <c r="R7" s="17"/>
      <c r="S7" s="17"/>
    </row>
    <row r="8" spans="1:26" s="6" customFormat="1" ht="17.25" customHeight="1" x14ac:dyDescent="0.45">
      <c r="A8" s="83" t="s">
        <v>184</v>
      </c>
      <c r="B8" s="13"/>
      <c r="C8" s="14"/>
      <c r="D8" s="17"/>
      <c r="E8" s="15"/>
      <c r="F8" s="16"/>
      <c r="G8" s="16"/>
      <c r="H8" s="16"/>
      <c r="I8" s="16"/>
      <c r="J8" s="16"/>
      <c r="K8" s="16"/>
      <c r="L8" s="16"/>
      <c r="M8" s="17"/>
      <c r="N8" s="17"/>
      <c r="O8" s="17"/>
      <c r="P8" s="17"/>
      <c r="Q8" s="17"/>
      <c r="R8" s="17"/>
      <c r="S8" s="17"/>
    </row>
    <row r="9" spans="1:26" s="6" customFormat="1" ht="17.25" customHeight="1" x14ac:dyDescent="0.45">
      <c r="A9" s="83" t="s">
        <v>149</v>
      </c>
      <c r="B9" s="13"/>
      <c r="C9" s="14"/>
      <c r="D9" s="17"/>
      <c r="E9" s="15"/>
      <c r="F9" s="16"/>
      <c r="G9" s="16"/>
      <c r="H9" s="16"/>
      <c r="I9" s="16"/>
      <c r="J9" s="16"/>
      <c r="K9" s="16"/>
      <c r="L9" s="16"/>
      <c r="M9" s="17"/>
      <c r="N9" s="17"/>
      <c r="O9" s="17"/>
      <c r="P9" s="17"/>
      <c r="Q9" s="17"/>
      <c r="R9" s="17"/>
      <c r="S9" s="17"/>
    </row>
    <row r="10" spans="1:26" s="87" customFormat="1" ht="17.25" customHeight="1" x14ac:dyDescent="0.35">
      <c r="A10" s="91" t="s">
        <v>3</v>
      </c>
      <c r="B10" s="27"/>
      <c r="C10" s="27"/>
      <c r="D10" s="27"/>
      <c r="E10" s="27"/>
      <c r="F10" s="27"/>
      <c r="G10" s="27"/>
      <c r="H10" s="27"/>
      <c r="I10" s="27"/>
      <c r="J10" s="27"/>
      <c r="K10" s="27"/>
      <c r="L10" s="27"/>
      <c r="M10" s="27"/>
      <c r="N10" s="27"/>
      <c r="O10" s="27"/>
      <c r="P10" s="27"/>
      <c r="Q10" s="27"/>
      <c r="R10" s="27"/>
      <c r="S10" s="27"/>
    </row>
    <row r="11" spans="1:26" s="92" customFormat="1" ht="17.25" customHeight="1" x14ac:dyDescent="0.3">
      <c r="A11" s="83" t="s">
        <v>43</v>
      </c>
      <c r="B11" s="83" t="s">
        <v>160</v>
      </c>
      <c r="C11" s="84">
        <v>45659</v>
      </c>
      <c r="E11" s="93"/>
      <c r="F11" s="94"/>
    </row>
    <row r="12" spans="1:26" s="92" customFormat="1" ht="17.25" customHeight="1" x14ac:dyDescent="0.3">
      <c r="A12" s="83" t="s">
        <v>44</v>
      </c>
      <c r="B12" s="83" t="s">
        <v>4</v>
      </c>
      <c r="E12" s="93"/>
      <c r="F12" s="94"/>
    </row>
    <row r="13" spans="1:26" s="87" customFormat="1" ht="17.25" customHeight="1" x14ac:dyDescent="0.35">
      <c r="A13" s="91" t="s">
        <v>42</v>
      </c>
      <c r="B13" s="27"/>
      <c r="C13" s="27"/>
      <c r="D13" s="27"/>
      <c r="E13" s="27"/>
      <c r="F13" s="27"/>
      <c r="G13" s="27"/>
      <c r="H13" s="27"/>
      <c r="I13" s="27"/>
      <c r="J13" s="27"/>
      <c r="K13" s="27"/>
      <c r="L13" s="27"/>
      <c r="M13" s="27"/>
      <c r="N13" s="27"/>
      <c r="O13" s="27"/>
      <c r="P13" s="27"/>
      <c r="Q13" s="27"/>
      <c r="R13" s="27"/>
      <c r="S13" s="27"/>
    </row>
    <row r="14" spans="1:26" s="9" customFormat="1" ht="17.25" customHeight="1" x14ac:dyDescent="0.35">
      <c r="A14" s="95" t="s">
        <v>161</v>
      </c>
      <c r="B14" s="13"/>
      <c r="C14" s="14"/>
      <c r="D14" s="17"/>
      <c r="E14" s="96"/>
      <c r="F14" s="97"/>
    </row>
    <row r="15" spans="1:26" s="27" customFormat="1" ht="55.5" customHeight="1" x14ac:dyDescent="0.35">
      <c r="A15" s="98" t="s">
        <v>162</v>
      </c>
    </row>
    <row r="16" spans="1:26" s="27" customFormat="1" ht="19.5" customHeight="1" x14ac:dyDescent="0.35">
      <c r="A16" s="99" t="s">
        <v>163</v>
      </c>
    </row>
    <row r="17" spans="1:13" s="17" customFormat="1" ht="13" x14ac:dyDescent="0.3">
      <c r="A17" s="100">
        <f>45+22.4</f>
        <v>67.400000000000006</v>
      </c>
      <c r="B17" s="17" t="s">
        <v>164</v>
      </c>
    </row>
    <row r="18" spans="1:13" s="17" customFormat="1" ht="13" x14ac:dyDescent="0.3">
      <c r="A18" s="23" t="s">
        <v>165</v>
      </c>
    </row>
    <row r="19" spans="1:13" s="17" customFormat="1" ht="13" x14ac:dyDescent="0.3">
      <c r="A19" s="18"/>
      <c r="B19" s="17" t="s">
        <v>166</v>
      </c>
    </row>
    <row r="20" spans="1:13" s="17" customFormat="1" ht="13" x14ac:dyDescent="0.3">
      <c r="A20" s="101">
        <v>67.400000000000006</v>
      </c>
      <c r="B20" s="17" t="s">
        <v>167</v>
      </c>
    </row>
    <row r="21" spans="1:13" s="103" customFormat="1" ht="28.5" customHeight="1" x14ac:dyDescent="0.35">
      <c r="A21" s="102" t="s">
        <v>168</v>
      </c>
    </row>
    <row r="22" spans="1:13" s="17" customFormat="1" ht="13" x14ac:dyDescent="0.3">
      <c r="A22" s="18"/>
      <c r="B22" s="17" t="s">
        <v>169</v>
      </c>
    </row>
    <row r="23" spans="1:13" s="17" customFormat="1" ht="13" x14ac:dyDescent="0.3">
      <c r="A23" s="104" t="str">
        <f>'Results &amp; Common Inputs'!A31</f>
        <v>Gold price forecast</v>
      </c>
      <c r="B23" s="104" t="str">
        <f>'Results &amp; Common Inputs'!B31</f>
        <v>US$/ounce Real</v>
      </c>
      <c r="C23" s="104"/>
      <c r="D23" s="206">
        <f>'Results &amp; Common Inputs'!D31</f>
        <v>2000</v>
      </c>
      <c r="E23" s="206">
        <f>'Results &amp; Common Inputs'!E31</f>
        <v>2000</v>
      </c>
      <c r="F23" s="206">
        <f>'Results &amp; Common Inputs'!F31</f>
        <v>2000</v>
      </c>
      <c r="G23" s="206">
        <f>'Results &amp; Common Inputs'!G31</f>
        <v>2000</v>
      </c>
      <c r="H23" s="206">
        <f>'Results &amp; Common Inputs'!H31</f>
        <v>2000</v>
      </c>
      <c r="I23" s="206">
        <f>'Results &amp; Common Inputs'!I31</f>
        <v>2000</v>
      </c>
      <c r="J23" s="206">
        <f>'Results &amp; Common Inputs'!J31</f>
        <v>2000</v>
      </c>
      <c r="K23" s="206">
        <f>'Results &amp; Common Inputs'!K31</f>
        <v>2000</v>
      </c>
      <c r="L23" s="206">
        <f>'Results &amp; Common Inputs'!L31</f>
        <v>2000</v>
      </c>
      <c r="M23" s="206">
        <f>'Results &amp; Common Inputs'!M31</f>
        <v>2000</v>
      </c>
    </row>
    <row r="24" spans="1:13" s="17" customFormat="1" ht="13" x14ac:dyDescent="0.3">
      <c r="A24" s="18"/>
      <c r="B24" s="17" t="s">
        <v>170</v>
      </c>
    </row>
    <row r="25" spans="1:13" s="17" customFormat="1" ht="13" x14ac:dyDescent="0.3">
      <c r="A25" s="18"/>
      <c r="B25" s="17" t="s">
        <v>171</v>
      </c>
    </row>
    <row r="26" spans="1:13" s="17" customFormat="1" ht="13" x14ac:dyDescent="0.3">
      <c r="A26" s="18"/>
      <c r="B26" s="17" t="s">
        <v>172</v>
      </c>
    </row>
    <row r="27" spans="1:13" s="92" customFormat="1" ht="28.5" customHeight="1" x14ac:dyDescent="0.35">
      <c r="A27" s="75" t="s">
        <v>173</v>
      </c>
    </row>
    <row r="28" spans="1:13" s="17" customFormat="1" ht="13" x14ac:dyDescent="0.3">
      <c r="A28" s="21">
        <f>A17+A20</f>
        <v>134.80000000000001</v>
      </c>
      <c r="B28" s="17" t="s">
        <v>174</v>
      </c>
    </row>
    <row r="29" spans="1:13" s="92" customFormat="1" ht="28.5" customHeight="1" x14ac:dyDescent="0.35">
      <c r="A29" s="105" t="s">
        <v>175</v>
      </c>
    </row>
    <row r="30" spans="1:13" s="17" customFormat="1" ht="13" x14ac:dyDescent="0.3">
      <c r="A30" s="106">
        <v>67.400000000000006</v>
      </c>
      <c r="B30" s="17" t="s">
        <v>176</v>
      </c>
    </row>
    <row r="31" spans="1:13" s="17" customFormat="1" ht="13" x14ac:dyDescent="0.3"/>
    <row r="32" spans="1:13" s="92" customFormat="1" ht="28.5" customHeight="1" x14ac:dyDescent="0.35">
      <c r="A32" s="75" t="s">
        <v>177</v>
      </c>
    </row>
    <row r="33" spans="1:19" s="17" customFormat="1" ht="13" x14ac:dyDescent="0.3">
      <c r="A33" s="17" t="s">
        <v>178</v>
      </c>
    </row>
    <row r="34" spans="1:19" s="17" customFormat="1" ht="13" x14ac:dyDescent="0.3">
      <c r="B34" s="17" t="s">
        <v>111</v>
      </c>
    </row>
    <row r="35" spans="1:19" s="17" customFormat="1" ht="13" x14ac:dyDescent="0.3">
      <c r="C35" s="17" t="s">
        <v>179</v>
      </c>
    </row>
    <row r="36" spans="1:19" s="17" customFormat="1" ht="13" x14ac:dyDescent="0.3">
      <c r="A36" s="18"/>
      <c r="B36" s="18"/>
      <c r="C36" s="18"/>
      <c r="D36" s="17" t="s">
        <v>180</v>
      </c>
      <c r="E36" s="18"/>
      <c r="F36" s="18"/>
    </row>
    <row r="37" spans="1:19" s="17" customFormat="1" ht="13" x14ac:dyDescent="0.3"/>
    <row r="38" spans="1:19" x14ac:dyDescent="0.35">
      <c r="A38" s="17"/>
      <c r="B38" s="17"/>
      <c r="C38" s="17"/>
      <c r="D38" s="17"/>
      <c r="E38" s="17"/>
      <c r="F38" s="17"/>
      <c r="G38" s="17"/>
      <c r="H38" s="17"/>
      <c r="I38" s="17"/>
      <c r="J38" s="17"/>
      <c r="K38" s="17"/>
      <c r="L38" s="17"/>
      <c r="M38" s="17"/>
      <c r="N38" s="17"/>
      <c r="O38" s="17"/>
      <c r="P38" s="17"/>
      <c r="Q38" s="17"/>
      <c r="R38" s="17"/>
      <c r="S38" s="17"/>
    </row>
    <row r="39" spans="1:19" x14ac:dyDescent="0.35">
      <c r="A39" s="17"/>
      <c r="B39" s="17"/>
      <c r="C39" s="17"/>
      <c r="D39" s="17"/>
      <c r="E39" s="17"/>
      <c r="F39" s="17"/>
      <c r="G39" s="17"/>
      <c r="H39" s="17"/>
      <c r="I39" s="17"/>
      <c r="J39" s="17"/>
      <c r="K39" s="17"/>
      <c r="L39" s="17"/>
      <c r="M39" s="17"/>
      <c r="N39" s="17"/>
      <c r="O39" s="17"/>
      <c r="P39" s="17"/>
      <c r="Q39" s="17"/>
      <c r="R39" s="17"/>
      <c r="S39" s="17"/>
    </row>
  </sheetData>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5"/>
  <sheetViews>
    <sheetView zoomScaleNormal="100" workbookViewId="0">
      <selection activeCell="B1" sqref="B1"/>
    </sheetView>
  </sheetViews>
  <sheetFormatPr defaultRowHeight="15.5" x14ac:dyDescent="0.35"/>
  <cols>
    <col min="1" max="1" width="44.90625" customWidth="1"/>
    <col min="2" max="2" width="15.08984375" customWidth="1"/>
    <col min="3" max="3" width="11.6328125" style="3" customWidth="1"/>
    <col min="4" max="13" width="11.26953125" style="2" customWidth="1"/>
  </cols>
  <sheetData>
    <row r="1" spans="1:16" s="8" customFormat="1" ht="18.5" x14ac:dyDescent="0.45">
      <c r="A1" s="110" t="str">
        <f>Introduction!A1</f>
        <v>Worked Example - Comparing Three Alternatives - www.economicevaluation.com.au</v>
      </c>
      <c r="B1" s="111"/>
      <c r="C1" s="111"/>
    </row>
    <row r="2" spans="1:16" s="6" customFormat="1" ht="100" customHeight="1" x14ac:dyDescent="0.45">
      <c r="A2" s="80" t="s">
        <v>181</v>
      </c>
      <c r="C2" s="5"/>
      <c r="D2" s="8"/>
      <c r="E2" s="8"/>
      <c r="F2" s="8"/>
      <c r="G2" s="8"/>
      <c r="H2" s="8"/>
      <c r="I2" s="8"/>
      <c r="J2" s="8"/>
      <c r="K2" s="8"/>
      <c r="L2" s="8"/>
      <c r="M2" s="8"/>
    </row>
    <row r="3" spans="1:16" s="4" customFormat="1" ht="18.5" x14ac:dyDescent="0.45">
      <c r="A3" s="110" t="str">
        <f>'Base Case'!A3</f>
        <v>Base Case</v>
      </c>
      <c r="B3" s="9"/>
      <c r="C3" s="3"/>
    </row>
    <row r="4" spans="1:16" s="4" customFormat="1" ht="13.25" customHeight="1" x14ac:dyDescent="0.35">
      <c r="A4" s="208" t="str">
        <f>'Base Case'!A5</f>
        <v>NPV - Base Case</v>
      </c>
      <c r="B4" s="112" t="str">
        <f>'Base Case'!B5</f>
        <v>US$ 000</v>
      </c>
      <c r="C4" s="119">
        <f>'Base Case'!C5</f>
        <v>8043.6617596203942</v>
      </c>
    </row>
    <row r="5" spans="1:16" s="4" customFormat="1" ht="13.25" customHeight="1" x14ac:dyDescent="0.35">
      <c r="A5" s="208" t="str">
        <f>'Base Case'!A6</f>
        <v>IRR - Base Case</v>
      </c>
      <c r="B5" s="112"/>
      <c r="C5" s="205">
        <f>'Base Case'!C6</f>
        <v>0.12379299654142795</v>
      </c>
    </row>
    <row r="6" spans="1:16" s="4" customFormat="1" ht="13.25" customHeight="1" x14ac:dyDescent="0.35">
      <c r="A6" s="209" t="str">
        <f>'Base Case'!A13</f>
        <v>Initial capex</v>
      </c>
      <c r="B6" s="203" t="str">
        <f>'Base Case'!B13</f>
        <v>US$ 000 Real</v>
      </c>
      <c r="C6" s="204">
        <f>'Base Case'!C13</f>
        <v>62000</v>
      </c>
    </row>
    <row r="7" spans="1:16" s="11" customFormat="1" ht="13.25" customHeight="1" x14ac:dyDescent="0.3">
      <c r="A7" s="151" t="str">
        <f>'Base Case'!A10</f>
        <v>Ore production</v>
      </c>
      <c r="B7" s="114" t="str">
        <f>'Base Case'!B10</f>
        <v>000 dry tonnes</v>
      </c>
      <c r="C7" s="113">
        <f>'Base Case'!C10</f>
        <v>3100</v>
      </c>
      <c r="P7" s="12"/>
    </row>
    <row r="8" spans="1:16" s="11" customFormat="1" ht="13.25" customHeight="1" x14ac:dyDescent="0.3">
      <c r="A8" s="151" t="str">
        <f>'Base Case'!A11</f>
        <v>Gold produced</v>
      </c>
      <c r="B8" s="115" t="str">
        <f>'Base Case'!B11</f>
        <v>000 ounces</v>
      </c>
      <c r="C8" s="113">
        <f>'Base Case'!C11</f>
        <v>237.7234726688103</v>
      </c>
      <c r="P8" s="12"/>
    </row>
    <row r="9" spans="1:16" s="4" customFormat="1" ht="13.25" customHeight="1" x14ac:dyDescent="0.35">
      <c r="A9" s="209" t="str">
        <f>'Base Case'!A14</f>
        <v>opex before Government royalty &amp; taxes per ounce</v>
      </c>
      <c r="B9" s="203" t="str">
        <f>'Base Case'!B14</f>
        <v>US$/ounce Real</v>
      </c>
      <c r="C9" s="204">
        <f>'Base Case'!C14</f>
        <v>1233.8390142292915</v>
      </c>
    </row>
    <row r="10" spans="1:16" s="4" customFormat="1" ht="8.4" customHeight="1" x14ac:dyDescent="0.35">
      <c r="A10" s="210"/>
      <c r="B10" s="116"/>
      <c r="C10" s="117"/>
      <c r="P10" s="10"/>
    </row>
    <row r="11" spans="1:16" s="4" customFormat="1" ht="18.5" x14ac:dyDescent="0.45">
      <c r="A11" s="211" t="str">
        <f>'Low Capex Case'!A3</f>
        <v>Low Capex Case</v>
      </c>
      <c r="B11" s="118"/>
      <c r="C11" s="3"/>
    </row>
    <row r="12" spans="1:16" s="4" customFormat="1" ht="13.25" customHeight="1" x14ac:dyDescent="0.35">
      <c r="A12" s="208" t="str">
        <f>'Low Capex Case'!A5</f>
        <v>NPV - Low Capex Case</v>
      </c>
      <c r="B12" s="112" t="str">
        <f>'Low Capex Case'!B5</f>
        <v>US$ 000</v>
      </c>
      <c r="C12" s="119">
        <f>'Low Capex Case'!C5</f>
        <v>4573.7478070373654</v>
      </c>
    </row>
    <row r="13" spans="1:16" s="4" customFormat="1" ht="13.25" customHeight="1" x14ac:dyDescent="0.35">
      <c r="A13" s="208" t="str">
        <f>'Low Capex Case'!A6</f>
        <v>IRR - Low Capex Case</v>
      </c>
      <c r="B13" s="112"/>
      <c r="C13" s="205">
        <f>'Low Capex Case'!C6</f>
        <v>0.11891858360584595</v>
      </c>
    </row>
    <row r="14" spans="1:16" s="4" customFormat="1" ht="13.25" customHeight="1" x14ac:dyDescent="0.35">
      <c r="A14" s="209" t="str">
        <f>'Low Capex Case'!A13</f>
        <v>Initial capex</v>
      </c>
      <c r="B14" s="203" t="str">
        <f>'Low Capex Case'!B13</f>
        <v>US$ 000 Real</v>
      </c>
      <c r="C14" s="204">
        <f>'Low Capex Case'!C13</f>
        <v>43000</v>
      </c>
    </row>
    <row r="15" spans="1:16" s="11" customFormat="1" ht="13.25" customHeight="1" x14ac:dyDescent="0.3">
      <c r="A15" s="151" t="str">
        <f>'Low Capex Case'!A10</f>
        <v>Ore production</v>
      </c>
      <c r="B15" s="114" t="str">
        <f>'Low Capex Case'!B10</f>
        <v>000 dry tonnes</v>
      </c>
      <c r="C15" s="113">
        <f>'Low Capex Case'!C10</f>
        <v>3100</v>
      </c>
      <c r="P15" s="12"/>
    </row>
    <row r="16" spans="1:16" s="11" customFormat="1" ht="13.25" customHeight="1" x14ac:dyDescent="0.3">
      <c r="A16" s="151" t="str">
        <f>'Low Capex Case'!A11</f>
        <v>Gold produced</v>
      </c>
      <c r="B16" s="115" t="str">
        <f>'Low Capex Case'!B11</f>
        <v>000 ounces</v>
      </c>
      <c r="C16" s="113">
        <f>'Low Capex Case'!C11</f>
        <v>237.7234726688103</v>
      </c>
      <c r="P16" s="12"/>
    </row>
    <row r="17" spans="1:16" s="4" customFormat="1" ht="13.25" customHeight="1" x14ac:dyDescent="0.35">
      <c r="A17" s="209" t="str">
        <f>'Low Capex Case'!A14</f>
        <v>opex before Government royalty &amp; taxes per ounce</v>
      </c>
      <c r="B17" s="203" t="str">
        <f>'Low Capex Case'!B14</f>
        <v>US$/ounce Real</v>
      </c>
      <c r="C17" s="204">
        <f>'Low Capex Case'!C14</f>
        <v>1384.2426283611965</v>
      </c>
    </row>
    <row r="18" spans="1:16" s="4" customFormat="1" ht="7.75" customHeight="1" x14ac:dyDescent="0.35">
      <c r="A18" s="210"/>
      <c r="B18" s="116"/>
      <c r="C18" s="117"/>
      <c r="P18" s="10"/>
    </row>
    <row r="19" spans="1:16" s="4" customFormat="1" ht="18.5" x14ac:dyDescent="0.45">
      <c r="A19" s="211" t="str">
        <f>'High Grade Short Life Case'!A3</f>
        <v>High Grading --&gt; Short Life Case</v>
      </c>
      <c r="B19" s="118"/>
      <c r="C19" s="3"/>
      <c r="P19" s="10"/>
    </row>
    <row r="20" spans="1:16" s="4" customFormat="1" ht="13.25" customHeight="1" x14ac:dyDescent="0.35">
      <c r="A20" s="208" t="str">
        <f>'High Grade Short Life Case'!A5</f>
        <v>NPV - High Grading Case</v>
      </c>
      <c r="B20" s="112" t="str">
        <f>'High Grade Short Life Case'!B5</f>
        <v>US$ 000</v>
      </c>
      <c r="C20" s="119">
        <f>'High Grade Short Life Case'!C5</f>
        <v>-1198.5702479897009</v>
      </c>
    </row>
    <row r="21" spans="1:16" s="4" customFormat="1" ht="13.25" customHeight="1" x14ac:dyDescent="0.35">
      <c r="A21" s="208" t="str">
        <f>'High Grade Short Life Case'!A6</f>
        <v>IRR - High Grading Case</v>
      </c>
      <c r="B21" s="112"/>
      <c r="C21" s="120">
        <f>'High Grade Short Life Case'!C6</f>
        <v>7.0130963387297518E-2</v>
      </c>
    </row>
    <row r="22" spans="1:16" s="4" customFormat="1" ht="13.25" customHeight="1" x14ac:dyDescent="0.35">
      <c r="A22" s="209" t="str">
        <f>'High Grade Short Life Case'!A13</f>
        <v>Initial capex</v>
      </c>
      <c r="B22" s="203" t="str">
        <f>'High Grade Short Life Case'!B13</f>
        <v>US$ 000 Real</v>
      </c>
      <c r="C22" s="204">
        <f>'High Grade Short Life Case'!C13</f>
        <v>58000</v>
      </c>
    </row>
    <row r="23" spans="1:16" s="11" customFormat="1" ht="13.25" customHeight="1" x14ac:dyDescent="0.3">
      <c r="A23" s="151" t="str">
        <f>'High Grade Short Life Case'!A10</f>
        <v>Ore production</v>
      </c>
      <c r="B23" s="114" t="str">
        <f>'High Grade Short Life Case'!B10</f>
        <v>000 dry tonnes</v>
      </c>
      <c r="C23" s="113">
        <f>'High Grade Short Life Case'!C10</f>
        <v>1700</v>
      </c>
      <c r="P23" s="12"/>
    </row>
    <row r="24" spans="1:16" s="11" customFormat="1" ht="13.25" customHeight="1" x14ac:dyDescent="0.3">
      <c r="A24" s="151" t="str">
        <f>'High Grade Short Life Case'!A11</f>
        <v>Gold produced</v>
      </c>
      <c r="B24" s="115" t="str">
        <f>'High Grade Short Life Case'!B11</f>
        <v>000 ounces</v>
      </c>
      <c r="C24" s="113">
        <f>'High Grade Short Life Case'!C11</f>
        <v>162.07073954983923</v>
      </c>
      <c r="P24" s="12"/>
    </row>
    <row r="25" spans="1:16" s="4" customFormat="1" ht="13.25" customHeight="1" x14ac:dyDescent="0.35">
      <c r="A25" s="209" t="str">
        <f>'High Grade Short Life Case'!A14</f>
        <v>opex before Government royalty &amp; taxes per ounce</v>
      </c>
      <c r="B25" s="203" t="str">
        <f>'High Grade Short Life Case'!B14</f>
        <v>US$/ounce Real</v>
      </c>
      <c r="C25" s="204">
        <f>'High Grade Short Life Case'!C14</f>
        <v>1217.3450519800015</v>
      </c>
    </row>
    <row r="26" spans="1:16" s="6" customFormat="1" ht="45" customHeight="1" x14ac:dyDescent="0.45">
      <c r="A26" s="80" t="s">
        <v>138</v>
      </c>
      <c r="C26" s="5"/>
      <c r="D26" s="8"/>
      <c r="E26" s="8"/>
      <c r="F26" s="8"/>
      <c r="G26" s="8"/>
      <c r="H26" s="8"/>
      <c r="I26" s="8"/>
      <c r="J26" s="8"/>
      <c r="K26" s="8"/>
      <c r="L26" s="8"/>
      <c r="M26" s="8"/>
    </row>
    <row r="27" spans="1:16" s="17" customFormat="1" ht="13" x14ac:dyDescent="0.3">
      <c r="A27" s="121"/>
      <c r="B27" s="122"/>
      <c r="C27" s="33"/>
      <c r="D27" s="123"/>
      <c r="E27" s="123"/>
      <c r="F27" s="123"/>
      <c r="G27" s="123"/>
      <c r="H27" s="123"/>
      <c r="I27" s="123"/>
      <c r="J27" s="123"/>
      <c r="K27" s="123"/>
      <c r="L27" s="123"/>
      <c r="M27" s="123"/>
    </row>
    <row r="28" spans="1:16" s="23" customFormat="1" x14ac:dyDescent="0.35">
      <c r="A28" s="131" t="s">
        <v>182</v>
      </c>
      <c r="B28" s="131" t="s">
        <v>6</v>
      </c>
      <c r="C28" s="132" t="s">
        <v>7</v>
      </c>
      <c r="D28" s="133">
        <v>2026</v>
      </c>
      <c r="E28" s="133">
        <f>D28+1</f>
        <v>2027</v>
      </c>
      <c r="F28" s="133">
        <f t="shared" ref="F28:M28" si="0">E28+1</f>
        <v>2028</v>
      </c>
      <c r="G28" s="133">
        <f t="shared" si="0"/>
        <v>2029</v>
      </c>
      <c r="H28" s="133">
        <f t="shared" si="0"/>
        <v>2030</v>
      </c>
      <c r="I28" s="133">
        <f t="shared" si="0"/>
        <v>2031</v>
      </c>
      <c r="J28" s="133">
        <f t="shared" si="0"/>
        <v>2032</v>
      </c>
      <c r="K28" s="133">
        <f t="shared" si="0"/>
        <v>2033</v>
      </c>
      <c r="L28" s="133">
        <f t="shared" si="0"/>
        <v>2034</v>
      </c>
      <c r="M28" s="133">
        <f t="shared" si="0"/>
        <v>2035</v>
      </c>
    </row>
    <row r="29" spans="1:16" s="17" customFormat="1" ht="14.5" x14ac:dyDescent="0.35">
      <c r="A29" s="1" t="s">
        <v>127</v>
      </c>
      <c r="B29" s="18"/>
      <c r="C29" s="21"/>
      <c r="D29" s="21"/>
      <c r="E29" s="21"/>
      <c r="F29" s="21"/>
      <c r="G29" s="21"/>
      <c r="H29" s="21"/>
      <c r="I29" s="21"/>
      <c r="J29" s="21"/>
      <c r="K29" s="21"/>
      <c r="L29" s="21"/>
      <c r="M29" s="21"/>
    </row>
    <row r="30" spans="1:16" s="17" customFormat="1" ht="13" x14ac:dyDescent="0.3">
      <c r="A30" s="92" t="s">
        <v>186</v>
      </c>
      <c r="C30" s="11"/>
      <c r="D30" s="11"/>
      <c r="E30" s="11"/>
      <c r="F30" s="11"/>
      <c r="G30" s="11"/>
      <c r="H30" s="11"/>
      <c r="I30" s="11"/>
      <c r="J30" s="11"/>
      <c r="K30" s="11"/>
      <c r="L30" s="11"/>
      <c r="M30" s="11"/>
    </row>
    <row r="31" spans="1:16" s="19" customFormat="1" ht="13" x14ac:dyDescent="0.3">
      <c r="A31" s="135" t="s">
        <v>59</v>
      </c>
      <c r="B31" s="136" t="s">
        <v>123</v>
      </c>
      <c r="C31" s="137"/>
      <c r="D31" s="137">
        <v>2000</v>
      </c>
      <c r="E31" s="137">
        <f>D31</f>
        <v>2000</v>
      </c>
      <c r="F31" s="137">
        <f t="shared" ref="F31:M32" si="1">E31</f>
        <v>2000</v>
      </c>
      <c r="G31" s="137">
        <f t="shared" si="1"/>
        <v>2000</v>
      </c>
      <c r="H31" s="137">
        <f t="shared" si="1"/>
        <v>2000</v>
      </c>
      <c r="I31" s="137">
        <f t="shared" si="1"/>
        <v>2000</v>
      </c>
      <c r="J31" s="137">
        <f t="shared" si="1"/>
        <v>2000</v>
      </c>
      <c r="K31" s="137">
        <f t="shared" si="1"/>
        <v>2000</v>
      </c>
      <c r="L31" s="137">
        <f t="shared" si="1"/>
        <v>2000</v>
      </c>
      <c r="M31" s="137">
        <f t="shared" si="1"/>
        <v>2000</v>
      </c>
    </row>
    <row r="32" spans="1:16" s="129" customFormat="1" ht="13" x14ac:dyDescent="0.3">
      <c r="A32" s="126" t="s">
        <v>125</v>
      </c>
      <c r="B32" s="126" t="s">
        <v>126</v>
      </c>
      <c r="C32" s="127"/>
      <c r="D32" s="128">
        <v>0.75</v>
      </c>
      <c r="E32" s="128">
        <f>D32</f>
        <v>0.75</v>
      </c>
      <c r="F32" s="128">
        <f t="shared" si="1"/>
        <v>0.75</v>
      </c>
      <c r="G32" s="128">
        <f t="shared" si="1"/>
        <v>0.75</v>
      </c>
      <c r="H32" s="128">
        <f t="shared" si="1"/>
        <v>0.75</v>
      </c>
      <c r="I32" s="128">
        <f t="shared" si="1"/>
        <v>0.75</v>
      </c>
      <c r="J32" s="128">
        <f t="shared" si="1"/>
        <v>0.75</v>
      </c>
      <c r="K32" s="128">
        <f t="shared" si="1"/>
        <v>0.75</v>
      </c>
      <c r="L32" s="128">
        <f t="shared" si="1"/>
        <v>0.75</v>
      </c>
      <c r="M32" s="128">
        <f t="shared" si="1"/>
        <v>0.75</v>
      </c>
    </row>
    <row r="33" spans="1:13" s="141" customFormat="1" ht="13" x14ac:dyDescent="0.3">
      <c r="A33" s="138" t="s">
        <v>190</v>
      </c>
      <c r="B33" s="138" t="s">
        <v>46</v>
      </c>
      <c r="C33" s="139"/>
      <c r="D33" s="140">
        <v>0.02</v>
      </c>
      <c r="E33" s="140">
        <f>D33</f>
        <v>0.02</v>
      </c>
      <c r="F33" s="140">
        <f t="shared" ref="F33:M33" si="2">E33</f>
        <v>0.02</v>
      </c>
      <c r="G33" s="140">
        <f t="shared" si="2"/>
        <v>0.02</v>
      </c>
      <c r="H33" s="140">
        <f t="shared" si="2"/>
        <v>0.02</v>
      </c>
      <c r="I33" s="140">
        <f t="shared" si="2"/>
        <v>0.02</v>
      </c>
      <c r="J33" s="140">
        <f t="shared" si="2"/>
        <v>0.02</v>
      </c>
      <c r="K33" s="140">
        <f t="shared" si="2"/>
        <v>0.02</v>
      </c>
      <c r="L33" s="140">
        <f t="shared" si="2"/>
        <v>0.02</v>
      </c>
      <c r="M33" s="140">
        <f t="shared" si="2"/>
        <v>0.02</v>
      </c>
    </row>
    <row r="34" spans="1:13" s="17" customFormat="1" ht="13" x14ac:dyDescent="0.3">
      <c r="A34" s="92" t="s">
        <v>187</v>
      </c>
      <c r="C34" s="11"/>
      <c r="D34" s="11"/>
      <c r="E34" s="11"/>
      <c r="F34" s="11"/>
      <c r="G34" s="11"/>
      <c r="H34" s="11"/>
      <c r="I34" s="11"/>
      <c r="J34" s="11"/>
      <c r="K34" s="11"/>
      <c r="L34" s="11"/>
      <c r="M34" s="11"/>
    </row>
    <row r="35" spans="1:13" s="144" customFormat="1" ht="13" x14ac:dyDescent="0.3">
      <c r="A35" s="138" t="s">
        <v>29</v>
      </c>
      <c r="B35" s="138" t="s">
        <v>37</v>
      </c>
      <c r="C35" s="142"/>
      <c r="D35" s="143">
        <v>0.03</v>
      </c>
      <c r="E35" s="143">
        <f>D35</f>
        <v>0.03</v>
      </c>
      <c r="F35" s="143">
        <f t="shared" ref="F35:M37" si="3">E35</f>
        <v>0.03</v>
      </c>
      <c r="G35" s="143">
        <f t="shared" si="3"/>
        <v>0.03</v>
      </c>
      <c r="H35" s="143">
        <f t="shared" si="3"/>
        <v>0.03</v>
      </c>
      <c r="I35" s="143">
        <f t="shared" si="3"/>
        <v>0.03</v>
      </c>
      <c r="J35" s="143">
        <f t="shared" si="3"/>
        <v>0.03</v>
      </c>
      <c r="K35" s="143">
        <f t="shared" si="3"/>
        <v>0.03</v>
      </c>
      <c r="L35" s="143">
        <f t="shared" si="3"/>
        <v>0.03</v>
      </c>
      <c r="M35" s="143">
        <f t="shared" si="3"/>
        <v>0.03</v>
      </c>
    </row>
    <row r="36" spans="1:13" s="17" customFormat="1" ht="13" x14ac:dyDescent="0.3">
      <c r="A36" s="92" t="s">
        <v>191</v>
      </c>
      <c r="C36" s="11"/>
      <c r="D36" s="11"/>
      <c r="E36" s="11"/>
      <c r="F36" s="11"/>
      <c r="G36" s="11"/>
      <c r="H36" s="11"/>
      <c r="I36" s="11"/>
      <c r="J36" s="11"/>
      <c r="K36" s="11"/>
      <c r="L36" s="11"/>
      <c r="M36" s="11"/>
    </row>
    <row r="37" spans="1:13" s="144" customFormat="1" ht="13" x14ac:dyDescent="0.3">
      <c r="A37" s="138" t="s">
        <v>35</v>
      </c>
      <c r="B37" s="138" t="s">
        <v>36</v>
      </c>
      <c r="C37" s="142"/>
      <c r="D37" s="140">
        <v>0.3</v>
      </c>
      <c r="E37" s="140">
        <f>D37</f>
        <v>0.3</v>
      </c>
      <c r="F37" s="140">
        <f t="shared" si="3"/>
        <v>0.3</v>
      </c>
      <c r="G37" s="140">
        <f t="shared" si="3"/>
        <v>0.3</v>
      </c>
      <c r="H37" s="140">
        <f t="shared" si="3"/>
        <v>0.3</v>
      </c>
      <c r="I37" s="140">
        <f t="shared" si="3"/>
        <v>0.3</v>
      </c>
      <c r="J37" s="140">
        <f t="shared" si="3"/>
        <v>0.3</v>
      </c>
      <c r="K37" s="140">
        <f t="shared" si="3"/>
        <v>0.3</v>
      </c>
      <c r="L37" s="140">
        <f t="shared" si="3"/>
        <v>0.3</v>
      </c>
      <c r="M37" s="140">
        <f t="shared" si="3"/>
        <v>0.3</v>
      </c>
    </row>
    <row r="39" spans="1:13" s="17" customFormat="1" ht="13" x14ac:dyDescent="0.3">
      <c r="A39" s="31" t="s">
        <v>12</v>
      </c>
      <c r="B39" s="18"/>
      <c r="C39" s="21"/>
      <c r="D39" s="21"/>
      <c r="E39" s="21"/>
      <c r="F39" s="21"/>
      <c r="G39" s="21"/>
      <c r="H39" s="21"/>
      <c r="I39" s="21"/>
      <c r="J39" s="21"/>
      <c r="K39" s="21"/>
      <c r="L39" s="21"/>
      <c r="M39" s="21"/>
    </row>
    <row r="40" spans="1:13" s="17" customFormat="1" ht="13" x14ac:dyDescent="0.3">
      <c r="A40" s="92" t="s">
        <v>188</v>
      </c>
      <c r="B40" s="18"/>
      <c r="C40" s="21"/>
      <c r="D40" s="21"/>
      <c r="E40" s="21"/>
      <c r="F40" s="21"/>
      <c r="G40" s="21"/>
      <c r="H40" s="21"/>
      <c r="I40" s="21"/>
      <c r="J40" s="21"/>
      <c r="K40" s="21"/>
      <c r="L40" s="21"/>
      <c r="M40" s="21"/>
    </row>
    <row r="41" spans="1:13" s="19" customFormat="1" ht="13" x14ac:dyDescent="0.3">
      <c r="A41" s="135" t="s">
        <v>102</v>
      </c>
      <c r="B41" s="135" t="s">
        <v>13</v>
      </c>
      <c r="C41" s="137"/>
      <c r="D41" s="137">
        <v>5</v>
      </c>
      <c r="E41" s="137">
        <f>D41</f>
        <v>5</v>
      </c>
      <c r="F41" s="137">
        <f t="shared" ref="F41:M41" si="4">E41</f>
        <v>5</v>
      </c>
      <c r="G41" s="137">
        <f t="shared" si="4"/>
        <v>5</v>
      </c>
      <c r="H41" s="137">
        <f t="shared" si="4"/>
        <v>5</v>
      </c>
      <c r="I41" s="137">
        <f t="shared" si="4"/>
        <v>5</v>
      </c>
      <c r="J41" s="137">
        <f t="shared" si="4"/>
        <v>5</v>
      </c>
      <c r="K41" s="137">
        <f t="shared" si="4"/>
        <v>5</v>
      </c>
      <c r="L41" s="137">
        <f t="shared" si="4"/>
        <v>5</v>
      </c>
      <c r="M41" s="137">
        <f t="shared" si="4"/>
        <v>5</v>
      </c>
    </row>
    <row r="42" spans="1:13" s="19" customFormat="1" ht="13" x14ac:dyDescent="0.3">
      <c r="A42" s="135" t="s">
        <v>198</v>
      </c>
      <c r="B42" s="135" t="s">
        <v>20</v>
      </c>
      <c r="C42" s="137"/>
      <c r="D42" s="137">
        <v>30</v>
      </c>
      <c r="E42" s="137">
        <f t="shared" ref="E42:M42" si="5">D42</f>
        <v>30</v>
      </c>
      <c r="F42" s="137">
        <f t="shared" si="5"/>
        <v>30</v>
      </c>
      <c r="G42" s="137">
        <f t="shared" si="5"/>
        <v>30</v>
      </c>
      <c r="H42" s="137">
        <f t="shared" si="5"/>
        <v>30</v>
      </c>
      <c r="I42" s="137">
        <f t="shared" si="5"/>
        <v>30</v>
      </c>
      <c r="J42" s="137">
        <f t="shared" si="5"/>
        <v>30</v>
      </c>
      <c r="K42" s="137">
        <f t="shared" si="5"/>
        <v>30</v>
      </c>
      <c r="L42" s="137">
        <f t="shared" si="5"/>
        <v>30</v>
      </c>
      <c r="M42" s="137">
        <f t="shared" si="5"/>
        <v>30</v>
      </c>
    </row>
    <row r="43" spans="1:13" s="17" customFormat="1" ht="13" x14ac:dyDescent="0.3">
      <c r="A43" s="31" t="s">
        <v>2</v>
      </c>
      <c r="B43" s="18"/>
      <c r="C43" s="21"/>
      <c r="D43" s="21"/>
      <c r="E43" s="21"/>
      <c r="F43" s="21"/>
      <c r="G43" s="21"/>
      <c r="H43" s="21"/>
      <c r="I43" s="21"/>
      <c r="J43" s="21"/>
      <c r="K43" s="21"/>
      <c r="L43" s="21"/>
      <c r="M43" s="21"/>
    </row>
    <row r="44" spans="1:13" s="17" customFormat="1" ht="13" x14ac:dyDescent="0.3">
      <c r="A44" s="92" t="s">
        <v>189</v>
      </c>
      <c r="B44" s="18"/>
      <c r="C44" s="21"/>
      <c r="D44" s="21"/>
      <c r="E44" s="21"/>
      <c r="F44" s="21"/>
      <c r="G44" s="21"/>
      <c r="H44" s="21"/>
      <c r="I44" s="21"/>
      <c r="J44" s="21"/>
      <c r="K44" s="21"/>
      <c r="L44" s="21"/>
      <c r="M44" s="21"/>
    </row>
    <row r="45" spans="1:13" s="18" customFormat="1" ht="13" x14ac:dyDescent="0.3">
      <c r="A45" s="145" t="s">
        <v>139</v>
      </c>
      <c r="B45" s="145" t="s">
        <v>46</v>
      </c>
      <c r="C45" s="21"/>
      <c r="D45" s="146">
        <v>0.08</v>
      </c>
      <c r="E45" s="146">
        <f>D45</f>
        <v>0.08</v>
      </c>
      <c r="F45" s="146">
        <f t="shared" ref="F45:M45" si="6">E45</f>
        <v>0.08</v>
      </c>
      <c r="G45" s="146">
        <f t="shared" si="6"/>
        <v>0.08</v>
      </c>
      <c r="H45" s="146">
        <f t="shared" si="6"/>
        <v>0.08</v>
      </c>
      <c r="I45" s="146">
        <f t="shared" si="6"/>
        <v>0.08</v>
      </c>
      <c r="J45" s="146">
        <f t="shared" si="6"/>
        <v>0.08</v>
      </c>
      <c r="K45" s="146">
        <f t="shared" si="6"/>
        <v>0.08</v>
      </c>
      <c r="L45" s="146">
        <f t="shared" si="6"/>
        <v>0.08</v>
      </c>
      <c r="M45" s="146">
        <f t="shared" si="6"/>
        <v>0.08</v>
      </c>
    </row>
  </sheetData>
  <pageMargins left="0.70866141732283472" right="0.70866141732283472" top="0.74803149606299213" bottom="0.74803149606299213" header="0.31496062992125984" footer="0.31496062992125984"/>
  <pageSetup paperSize="9"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47"/>
  <sheetViews>
    <sheetView zoomScaleNormal="100" workbookViewId="0">
      <selection activeCell="E13" sqref="E13"/>
    </sheetView>
  </sheetViews>
  <sheetFormatPr defaultColWidth="8.90625" defaultRowHeight="13" x14ac:dyDescent="0.3"/>
  <cols>
    <col min="1" max="1" width="32.08984375" style="17" customWidth="1"/>
    <col min="2" max="2" width="15.90625" style="17" customWidth="1"/>
    <col min="3" max="3" width="16.81640625" style="21" customWidth="1"/>
    <col min="4" max="13" width="12.81640625" style="11" customWidth="1"/>
    <col min="14" max="16384" width="8.90625" style="17"/>
  </cols>
  <sheetData>
    <row r="1" spans="1:13" s="26" customFormat="1" ht="30.75" customHeight="1" x14ac:dyDescent="0.35">
      <c r="A1" s="183" t="str">
        <f>Introduction!A1</f>
        <v>Worked Example - Comparing Three Alternatives - www.economicevaluation.com.au</v>
      </c>
      <c r="B1" s="207"/>
      <c r="C1" s="207"/>
      <c r="D1" s="207"/>
      <c r="E1" s="207"/>
    </row>
    <row r="2" spans="1:13" s="27" customFormat="1" ht="30.75" customHeight="1" x14ac:dyDescent="0.35">
      <c r="A2" s="202" t="s">
        <v>110</v>
      </c>
    </row>
    <row r="3" spans="1:13" s="27" customFormat="1" ht="32" customHeight="1" x14ac:dyDescent="0.35">
      <c r="A3" s="80" t="s">
        <v>71</v>
      </c>
      <c r="B3" s="25"/>
      <c r="C3" s="7"/>
      <c r="D3" s="26"/>
      <c r="E3" s="26"/>
      <c r="F3" s="26"/>
      <c r="G3" s="26"/>
      <c r="H3" s="26"/>
      <c r="I3" s="26"/>
      <c r="J3" s="26"/>
      <c r="K3" s="26"/>
      <c r="L3" s="26"/>
      <c r="M3" s="26"/>
    </row>
    <row r="4" spans="1:13" ht="18" customHeight="1" x14ac:dyDescent="0.35">
      <c r="A4" s="1" t="s">
        <v>240</v>
      </c>
      <c r="B4" s="77"/>
      <c r="C4" s="78"/>
    </row>
    <row r="5" spans="1:13" s="27" customFormat="1" ht="15.5" x14ac:dyDescent="0.35">
      <c r="A5" s="152" t="str">
        <f>A265</f>
        <v>NPV - Base Case</v>
      </c>
      <c r="B5" s="191" t="str">
        <f>B265</f>
        <v>US$ 000</v>
      </c>
      <c r="C5" s="153">
        <f>C265</f>
        <v>8043.6617596203942</v>
      </c>
      <c r="D5" s="26"/>
      <c r="E5" s="26"/>
      <c r="F5" s="26"/>
      <c r="G5" s="26"/>
      <c r="H5" s="26"/>
      <c r="I5" s="26"/>
      <c r="J5" s="26"/>
      <c r="K5" s="26"/>
      <c r="L5" s="26"/>
      <c r="M5" s="26"/>
    </row>
    <row r="6" spans="1:13" s="27" customFormat="1" ht="15.5" x14ac:dyDescent="0.35">
      <c r="A6" s="152" t="str">
        <f>A256</f>
        <v>IRR - Base Case</v>
      </c>
      <c r="B6" s="192"/>
      <c r="C6" s="154">
        <f>C256</f>
        <v>0.12379299654142795</v>
      </c>
      <c r="D6" s="26"/>
      <c r="E6" s="26"/>
      <c r="F6" s="26"/>
      <c r="G6" s="26"/>
      <c r="H6" s="26"/>
      <c r="I6" s="26"/>
      <c r="J6" s="26"/>
      <c r="K6" s="26"/>
      <c r="L6" s="26"/>
      <c r="M6" s="26"/>
    </row>
    <row r="7" spans="1:13" ht="14.5" x14ac:dyDescent="0.35">
      <c r="A7" s="74" t="str">
        <f>A270</f>
        <v>NPV / Initial Capex</v>
      </c>
      <c r="B7" s="193"/>
      <c r="C7" s="76">
        <f>C270</f>
        <v>0.12973647999387733</v>
      </c>
      <c r="D7" s="21"/>
      <c r="E7" s="21"/>
      <c r="F7" s="21"/>
      <c r="G7" s="21"/>
      <c r="H7" s="21"/>
      <c r="I7" s="21"/>
      <c r="J7" s="21"/>
      <c r="K7" s="21"/>
      <c r="L7" s="21"/>
      <c r="M7" s="21"/>
    </row>
    <row r="8" spans="1:13" ht="17.25" customHeight="1" x14ac:dyDescent="0.35">
      <c r="A8" s="74" t="str">
        <f>A271</f>
        <v xml:space="preserve">Payback in Real terms </v>
      </c>
      <c r="B8" s="194" t="str">
        <f>B271</f>
        <v>Years from Day 1</v>
      </c>
      <c r="C8" s="78">
        <f>C271</f>
        <v>6</v>
      </c>
    </row>
    <row r="9" spans="1:13" ht="18" customHeight="1" x14ac:dyDescent="0.35">
      <c r="A9" s="1" t="s">
        <v>241</v>
      </c>
      <c r="B9" s="194"/>
      <c r="C9" s="78"/>
    </row>
    <row r="10" spans="1:13" s="35" customFormat="1" ht="14" customHeight="1" x14ac:dyDescent="0.3">
      <c r="A10" s="35" t="str">
        <f>A68</f>
        <v>Ore production</v>
      </c>
      <c r="B10" s="195" t="str">
        <f>B68</f>
        <v>000 dry tonnes</v>
      </c>
      <c r="C10" s="184">
        <f t="shared" ref="C10" si="0">C68</f>
        <v>3100</v>
      </c>
      <c r="D10" s="33"/>
      <c r="E10" s="33"/>
      <c r="F10" s="33"/>
      <c r="G10" s="33"/>
      <c r="H10" s="33"/>
      <c r="I10" s="33"/>
      <c r="J10" s="33"/>
      <c r="K10" s="33"/>
      <c r="L10" s="33"/>
      <c r="M10" s="33"/>
    </row>
    <row r="11" spans="1:13" s="35" customFormat="1" ht="14" customHeight="1" x14ac:dyDescent="0.3">
      <c r="A11" s="35" t="str">
        <f>A72</f>
        <v>Gold produced</v>
      </c>
      <c r="B11" s="195" t="str">
        <f>B72</f>
        <v>000 ounces</v>
      </c>
      <c r="C11" s="184">
        <f t="shared" ref="C11" si="1">C72</f>
        <v>237.7234726688103</v>
      </c>
      <c r="D11" s="33"/>
      <c r="E11" s="33"/>
      <c r="F11" s="33"/>
      <c r="G11" s="33"/>
      <c r="H11" s="33"/>
      <c r="I11" s="33"/>
      <c r="J11" s="33"/>
      <c r="K11" s="33"/>
      <c r="L11" s="33"/>
      <c r="M11" s="33"/>
    </row>
    <row r="12" spans="1:13" ht="18" customHeight="1" x14ac:dyDescent="0.35">
      <c r="A12" s="1" t="s">
        <v>243</v>
      </c>
      <c r="B12" s="194"/>
      <c r="C12" s="78"/>
    </row>
    <row r="13" spans="1:13" s="185" customFormat="1" ht="14" customHeight="1" x14ac:dyDescent="0.3">
      <c r="A13" s="185" t="str">
        <f>A102</f>
        <v>Initial capex</v>
      </c>
      <c r="B13" s="196" t="str">
        <f>B102</f>
        <v>US$ 000 Real</v>
      </c>
      <c r="C13" s="186">
        <f t="shared" ref="C13" si="2">C102</f>
        <v>62000</v>
      </c>
      <c r="D13" s="187"/>
      <c r="E13" s="187"/>
      <c r="F13" s="187"/>
      <c r="G13" s="187"/>
      <c r="H13" s="187"/>
      <c r="I13" s="187"/>
      <c r="J13" s="187"/>
      <c r="K13" s="187"/>
      <c r="L13" s="187"/>
      <c r="M13" s="187"/>
    </row>
    <row r="14" spans="1:13" s="185" customFormat="1" ht="14" customHeight="1" x14ac:dyDescent="0.3">
      <c r="A14" s="185" t="str">
        <f>A210</f>
        <v>opex before Government royalty &amp; taxes per ounce</v>
      </c>
      <c r="B14" s="196" t="str">
        <f>B210</f>
        <v>US$/ounce Real</v>
      </c>
      <c r="C14" s="187">
        <f t="shared" ref="C14" si="3">C210</f>
        <v>1233.8390142292915</v>
      </c>
      <c r="D14" s="187"/>
      <c r="E14" s="187"/>
      <c r="F14" s="187"/>
      <c r="G14" s="187"/>
      <c r="H14" s="187"/>
      <c r="I14" s="187"/>
      <c r="J14" s="187"/>
      <c r="K14" s="187"/>
      <c r="L14" s="187"/>
      <c r="M14" s="187"/>
    </row>
    <row r="15" spans="1:13" s="185" customFormat="1" ht="18.5" customHeight="1" x14ac:dyDescent="0.35">
      <c r="A15" s="1" t="s">
        <v>242</v>
      </c>
      <c r="B15" s="196"/>
      <c r="C15" s="186"/>
      <c r="D15" s="187"/>
      <c r="E15" s="187"/>
      <c r="F15" s="187"/>
      <c r="G15" s="187"/>
      <c r="H15" s="187"/>
      <c r="I15" s="187"/>
      <c r="J15" s="187"/>
      <c r="K15" s="187"/>
      <c r="L15" s="187"/>
      <c r="M15" s="187"/>
    </row>
    <row r="16" spans="1:13" s="185" customFormat="1" ht="14.5" customHeight="1" x14ac:dyDescent="0.3">
      <c r="A16" s="185" t="str">
        <f>A88</f>
        <v>Cashstream 1: Revenue - Base Case</v>
      </c>
      <c r="B16" s="196" t="str">
        <f>B88</f>
        <v>US$ 000 Real</v>
      </c>
      <c r="C16" s="186">
        <f t="shared" ref="C16" si="4">C88</f>
        <v>475446.94533762056</v>
      </c>
      <c r="D16" s="187"/>
      <c r="E16" s="187"/>
      <c r="F16" s="187"/>
      <c r="G16" s="187"/>
      <c r="H16" s="187"/>
      <c r="I16" s="187"/>
      <c r="J16" s="187"/>
      <c r="K16" s="187"/>
      <c r="L16" s="187"/>
      <c r="M16" s="187"/>
    </row>
    <row r="17" spans="1:19" s="185" customFormat="1" ht="14.5" customHeight="1" x14ac:dyDescent="0.3">
      <c r="A17" s="190" t="str">
        <f>A113</f>
        <v>Cashstream 2: Capital Costs - Base Case</v>
      </c>
      <c r="B17" s="197" t="str">
        <f>B113</f>
        <v>US$ 000 Real</v>
      </c>
      <c r="C17" s="198">
        <f t="shared" ref="C17" si="5">C113</f>
        <v>100700</v>
      </c>
      <c r="D17" s="187"/>
      <c r="E17" s="187"/>
      <c r="F17" s="187"/>
      <c r="G17" s="187"/>
      <c r="H17" s="187"/>
      <c r="I17" s="187"/>
      <c r="J17" s="187"/>
      <c r="K17" s="187"/>
      <c r="L17" s="187"/>
      <c r="M17" s="187"/>
    </row>
    <row r="18" spans="1:19" s="185" customFormat="1" ht="14.5" customHeight="1" x14ac:dyDescent="0.3">
      <c r="A18" s="190" t="str">
        <f>A206</f>
        <v>Cashstream 3: Operating Costs - Base Case</v>
      </c>
      <c r="B18" s="197" t="str">
        <f>B206</f>
        <v>US$ 000 Real</v>
      </c>
      <c r="C18" s="198">
        <f t="shared" ref="C18" si="6">C206</f>
        <v>293312.49517684884</v>
      </c>
      <c r="D18" s="187"/>
      <c r="E18" s="187"/>
      <c r="F18" s="187"/>
      <c r="G18" s="187"/>
      <c r="H18" s="187"/>
      <c r="I18" s="187"/>
      <c r="J18" s="187"/>
      <c r="K18" s="187"/>
      <c r="L18" s="187"/>
      <c r="M18" s="187"/>
    </row>
    <row r="19" spans="1:19" s="185" customFormat="1" ht="14.5" customHeight="1" x14ac:dyDescent="0.3">
      <c r="A19" s="185" t="str">
        <f>A244</f>
        <v>Cashstream 4: Taxes - Base Case</v>
      </c>
      <c r="B19" s="196" t="str">
        <f>B244</f>
        <v>US$ 000 Real</v>
      </c>
      <c r="C19" s="186">
        <f t="shared" ref="C19" si="7">C244</f>
        <v>51487.172098858951</v>
      </c>
      <c r="D19" s="187"/>
      <c r="E19" s="187"/>
      <c r="F19" s="187"/>
      <c r="G19" s="187"/>
      <c r="H19" s="187"/>
      <c r="I19" s="187"/>
      <c r="J19" s="187"/>
      <c r="K19" s="187"/>
      <c r="L19" s="187"/>
      <c r="M19" s="187"/>
    </row>
    <row r="20" spans="1:19" s="185" customFormat="1" ht="17" customHeight="1" x14ac:dyDescent="0.35">
      <c r="A20" s="201" t="str">
        <f>A253</f>
        <v>Cash Generation - Base Case</v>
      </c>
      <c r="B20" s="196" t="str">
        <f>B253</f>
        <v>US$ 000 Real</v>
      </c>
      <c r="C20" s="199">
        <f t="shared" ref="C20" si="8">C253</f>
        <v>29947.278061912773</v>
      </c>
      <c r="D20" s="200"/>
      <c r="E20" s="200"/>
      <c r="F20" s="200"/>
      <c r="G20" s="200"/>
      <c r="H20" s="200"/>
      <c r="I20" s="200"/>
      <c r="J20" s="200"/>
      <c r="K20" s="200"/>
      <c r="L20" s="200"/>
      <c r="M20" s="200"/>
    </row>
    <row r="21" spans="1:19" ht="17" customHeight="1" x14ac:dyDescent="0.3">
      <c r="A21" s="18"/>
      <c r="B21" s="18"/>
      <c r="C21" s="29"/>
    </row>
    <row r="22" spans="1:19" ht="17.25" customHeight="1" x14ac:dyDescent="0.3">
      <c r="A22" s="18"/>
      <c r="B22" s="18"/>
      <c r="C22" s="29"/>
    </row>
    <row r="23" spans="1:19" ht="17.25" customHeight="1" x14ac:dyDescent="0.3">
      <c r="A23" s="18"/>
      <c r="B23" s="18"/>
      <c r="C23" s="29"/>
    </row>
    <row r="24" spans="1:19" ht="17.25" customHeight="1" x14ac:dyDescent="0.3">
      <c r="A24" s="18"/>
      <c r="B24" s="18"/>
      <c r="C24" s="29"/>
    </row>
    <row r="25" spans="1:19" ht="17.25" customHeight="1" x14ac:dyDescent="0.3">
      <c r="A25" s="18"/>
      <c r="B25" s="18"/>
      <c r="C25" s="29"/>
    </row>
    <row r="26" spans="1:19" ht="17.25" customHeight="1" x14ac:dyDescent="0.3">
      <c r="A26" s="18"/>
      <c r="B26" s="18"/>
      <c r="C26" s="29"/>
    </row>
    <row r="27" spans="1:19" ht="17.25" customHeight="1" x14ac:dyDescent="0.3">
      <c r="A27" s="18"/>
      <c r="B27" s="18"/>
      <c r="C27" s="29"/>
    </row>
    <row r="28" spans="1:19" ht="17.25" customHeight="1" x14ac:dyDescent="0.3">
      <c r="A28" s="18"/>
      <c r="B28" s="18"/>
      <c r="C28" s="29"/>
    </row>
    <row r="29" spans="1:19" ht="17.25" customHeight="1" x14ac:dyDescent="0.3">
      <c r="A29" s="18"/>
      <c r="B29" s="18"/>
      <c r="C29" s="29"/>
    </row>
    <row r="30" spans="1:19" ht="17.25" customHeight="1" x14ac:dyDescent="0.3">
      <c r="A30" s="18"/>
      <c r="B30" s="18"/>
      <c r="C30" s="29"/>
      <c r="P30" s="11"/>
      <c r="R30" s="11"/>
      <c r="S30" s="30"/>
    </row>
    <row r="31" spans="1:19" ht="17.25" customHeight="1" x14ac:dyDescent="0.3">
      <c r="A31" s="18"/>
      <c r="B31" s="18"/>
      <c r="C31" s="29"/>
      <c r="P31" s="11"/>
      <c r="R31" s="11"/>
      <c r="S31" s="30"/>
    </row>
    <row r="32" spans="1:19" ht="17.25" customHeight="1" x14ac:dyDescent="0.3">
      <c r="A32" s="18"/>
      <c r="B32" s="18"/>
      <c r="C32" s="29"/>
      <c r="P32" s="11"/>
      <c r="R32" s="11"/>
      <c r="S32" s="30"/>
    </row>
    <row r="33" spans="1:8" ht="17.25" customHeight="1" x14ac:dyDescent="0.3">
      <c r="A33" s="18"/>
      <c r="B33" s="18"/>
      <c r="C33" s="29"/>
    </row>
    <row r="34" spans="1:8" ht="17.25" customHeight="1" x14ac:dyDescent="0.3">
      <c r="A34" s="18"/>
      <c r="B34" s="18"/>
      <c r="C34" s="29"/>
    </row>
    <row r="35" spans="1:8" ht="17.25" customHeight="1" x14ac:dyDescent="0.3">
      <c r="A35" s="18"/>
      <c r="B35" s="18"/>
      <c r="C35" s="29"/>
    </row>
    <row r="36" spans="1:8" ht="17.25" customHeight="1" x14ac:dyDescent="0.3">
      <c r="A36" s="18"/>
      <c r="B36" s="18"/>
      <c r="C36" s="29"/>
    </row>
    <row r="37" spans="1:8" ht="17.25" customHeight="1" x14ac:dyDescent="0.3">
      <c r="A37" s="18"/>
      <c r="B37" s="18"/>
      <c r="C37" s="29"/>
    </row>
    <row r="38" spans="1:8" ht="17.25" customHeight="1" x14ac:dyDescent="0.3">
      <c r="A38" s="18"/>
      <c r="B38" s="18"/>
      <c r="C38" s="29"/>
    </row>
    <row r="39" spans="1:8" ht="17.25" customHeight="1" x14ac:dyDescent="0.3">
      <c r="A39" s="18"/>
      <c r="B39" s="18"/>
      <c r="C39" s="29"/>
    </row>
    <row r="40" spans="1:8" ht="17.25" customHeight="1" x14ac:dyDescent="0.3">
      <c r="A40" s="18"/>
      <c r="B40" s="18"/>
      <c r="C40" s="29"/>
    </row>
    <row r="41" spans="1:8" ht="17.25" customHeight="1" x14ac:dyDescent="0.3">
      <c r="A41" s="18"/>
      <c r="B41" s="18"/>
      <c r="C41" s="29"/>
      <c r="H41" s="30"/>
    </row>
    <row r="42" spans="1:8" ht="17.25" customHeight="1" x14ac:dyDescent="0.3">
      <c r="A42" s="18"/>
      <c r="B42" s="18"/>
      <c r="C42" s="29"/>
    </row>
    <row r="43" spans="1:8" ht="17.25" customHeight="1" x14ac:dyDescent="0.3">
      <c r="A43" s="18"/>
      <c r="B43" s="18"/>
      <c r="C43" s="29"/>
    </row>
    <row r="44" spans="1:8" ht="17.25" customHeight="1" x14ac:dyDescent="0.3">
      <c r="A44" s="18"/>
      <c r="B44" s="18"/>
      <c r="C44" s="29"/>
    </row>
    <row r="45" spans="1:8" ht="17.25" customHeight="1" x14ac:dyDescent="0.3">
      <c r="A45" s="18"/>
      <c r="B45" s="18"/>
      <c r="C45" s="29"/>
    </row>
    <row r="46" spans="1:8" ht="17.25" customHeight="1" x14ac:dyDescent="0.3">
      <c r="A46" s="18"/>
      <c r="B46" s="18"/>
      <c r="C46" s="29"/>
    </row>
    <row r="47" spans="1:8" ht="17.25" customHeight="1" x14ac:dyDescent="0.3">
      <c r="A47" s="18"/>
      <c r="B47" s="18"/>
      <c r="C47" s="29"/>
    </row>
    <row r="48" spans="1:8" ht="17.25" customHeight="1" x14ac:dyDescent="0.3">
      <c r="A48" s="18"/>
      <c r="B48" s="18"/>
      <c r="C48" s="29"/>
    </row>
    <row r="49" spans="1:13" ht="17.25" customHeight="1" x14ac:dyDescent="0.3">
      <c r="A49" s="18"/>
      <c r="B49" s="18"/>
      <c r="C49" s="29"/>
    </row>
    <row r="50" spans="1:13" ht="17.25" customHeight="1" x14ac:dyDescent="0.3">
      <c r="A50" s="18"/>
      <c r="B50" s="18"/>
      <c r="C50" s="29"/>
    </row>
    <row r="51" spans="1:13" ht="17.25" customHeight="1" x14ac:dyDescent="0.3">
      <c r="A51" s="18"/>
      <c r="B51" s="18"/>
      <c r="C51" s="29"/>
    </row>
    <row r="52" spans="1:13" ht="17.25" customHeight="1" x14ac:dyDescent="0.3">
      <c r="A52" s="18"/>
      <c r="B52" s="18"/>
      <c r="C52" s="29"/>
    </row>
    <row r="53" spans="1:13" ht="17.25" customHeight="1" x14ac:dyDescent="0.3">
      <c r="A53" s="18"/>
      <c r="B53" s="18"/>
      <c r="C53" s="29"/>
    </row>
    <row r="54" spans="1:13" ht="17.25" customHeight="1" x14ac:dyDescent="0.3">
      <c r="A54" s="18"/>
      <c r="B54" s="18"/>
      <c r="C54" s="29"/>
    </row>
    <row r="55" spans="1:13" ht="17.25" customHeight="1" x14ac:dyDescent="0.3">
      <c r="A55" s="18"/>
      <c r="B55" s="18"/>
      <c r="C55" s="29"/>
    </row>
    <row r="56" spans="1:13" ht="17.25" customHeight="1" x14ac:dyDescent="0.3">
      <c r="A56" s="18"/>
      <c r="B56" s="18"/>
      <c r="C56" s="29"/>
    </row>
    <row r="57" spans="1:13" ht="17.25" customHeight="1" x14ac:dyDescent="0.3">
      <c r="A57" s="18"/>
      <c r="B57" s="18"/>
      <c r="C57" s="29"/>
    </row>
    <row r="58" spans="1:13" ht="17.25" customHeight="1" x14ac:dyDescent="0.3">
      <c r="A58" s="18"/>
      <c r="B58" s="18"/>
      <c r="C58" s="29"/>
    </row>
    <row r="59" spans="1:13" ht="17.25" customHeight="1" x14ac:dyDescent="0.3">
      <c r="A59" s="18"/>
      <c r="B59" s="18"/>
      <c r="C59" s="29"/>
    </row>
    <row r="60" spans="1:13" ht="17.25" customHeight="1" x14ac:dyDescent="0.3">
      <c r="A60" s="18"/>
      <c r="B60" s="18"/>
      <c r="C60" s="29"/>
    </row>
    <row r="61" spans="1:13" ht="17.25" customHeight="1" x14ac:dyDescent="0.3">
      <c r="A61" s="18"/>
      <c r="B61" s="18"/>
      <c r="C61" s="29"/>
    </row>
    <row r="62" spans="1:13" ht="17" customHeight="1" x14ac:dyDescent="0.3">
      <c r="A62" s="18"/>
      <c r="B62" s="18"/>
      <c r="C62" s="29"/>
    </row>
    <row r="63" spans="1:13" s="183" customFormat="1" ht="27.5" customHeight="1" x14ac:dyDescent="0.35">
      <c r="A63" s="180" t="str">
        <f>'Results &amp; Common Inputs'!A$28</f>
        <v>Life of Business</v>
      </c>
      <c r="B63" s="180" t="str">
        <f>'Results &amp; Common Inputs'!B$28</f>
        <v>units</v>
      </c>
      <c r="C63" s="181" t="str">
        <f>'Results &amp; Common Inputs'!C$28</f>
        <v>Total</v>
      </c>
      <c r="D63" s="182">
        <f>'Results &amp; Common Inputs'!D$28</f>
        <v>2026</v>
      </c>
      <c r="E63" s="182">
        <f>'Results &amp; Common Inputs'!E$28</f>
        <v>2027</v>
      </c>
      <c r="F63" s="182">
        <f>'Results &amp; Common Inputs'!F$28</f>
        <v>2028</v>
      </c>
      <c r="G63" s="182">
        <f>'Results &amp; Common Inputs'!G$28</f>
        <v>2029</v>
      </c>
      <c r="H63" s="182">
        <f>'Results &amp; Common Inputs'!H$28</f>
        <v>2030</v>
      </c>
      <c r="I63" s="182">
        <f>'Results &amp; Common Inputs'!I$28</f>
        <v>2031</v>
      </c>
      <c r="J63" s="182">
        <f>'Results &amp; Common Inputs'!J$28</f>
        <v>2032</v>
      </c>
      <c r="K63" s="182">
        <f>'Results &amp; Common Inputs'!K$28</f>
        <v>2033</v>
      </c>
      <c r="L63" s="182">
        <f>'Results &amp; Common Inputs'!L$28</f>
        <v>2034</v>
      </c>
      <c r="M63" s="182">
        <f>'Results &amp; Common Inputs'!M$28</f>
        <v>2035</v>
      </c>
    </row>
    <row r="64" spans="1:13" s="63" customFormat="1" ht="43.75" customHeight="1" x14ac:dyDescent="0.35">
      <c r="A64" s="98" t="s">
        <v>5</v>
      </c>
      <c r="C64" s="64"/>
      <c r="D64" s="64"/>
      <c r="E64" s="64"/>
      <c r="F64" s="64"/>
      <c r="G64" s="64"/>
      <c r="H64" s="64"/>
      <c r="I64" s="64"/>
      <c r="J64" s="64"/>
      <c r="K64" s="64"/>
      <c r="L64" s="64"/>
      <c r="M64" s="64"/>
    </row>
    <row r="65" spans="1:13" ht="14.5" x14ac:dyDescent="0.35">
      <c r="A65" s="1" t="s">
        <v>8</v>
      </c>
      <c r="B65" s="18"/>
      <c r="D65" s="21"/>
      <c r="E65" s="21"/>
      <c r="F65" s="21"/>
      <c r="G65" s="21"/>
      <c r="H65" s="21"/>
      <c r="I65" s="21"/>
      <c r="J65" s="21"/>
      <c r="K65" s="21"/>
      <c r="L65" s="21"/>
      <c r="M65" s="21"/>
    </row>
    <row r="66" spans="1:13" s="23" customFormat="1" x14ac:dyDescent="0.3">
      <c r="A66" s="92" t="s">
        <v>197</v>
      </c>
      <c r="B66" s="19"/>
      <c r="C66" s="100"/>
      <c r="D66" s="100"/>
      <c r="E66" s="100"/>
      <c r="F66" s="100"/>
      <c r="G66" s="100"/>
      <c r="H66" s="100"/>
      <c r="I66" s="100"/>
      <c r="J66" s="100"/>
      <c r="K66" s="100"/>
      <c r="L66" s="100"/>
      <c r="M66" s="100"/>
    </row>
    <row r="67" spans="1:13" s="19" customFormat="1" x14ac:dyDescent="0.3">
      <c r="A67" s="135" t="s">
        <v>58</v>
      </c>
      <c r="B67" s="130" t="s">
        <v>47</v>
      </c>
      <c r="C67" s="137">
        <f>SUM(D67:M67)</f>
        <v>3580</v>
      </c>
      <c r="D67" s="137"/>
      <c r="E67" s="137"/>
      <c r="F67" s="137">
        <v>950</v>
      </c>
      <c r="G67" s="137">
        <v>700</v>
      </c>
      <c r="H67" s="137">
        <v>700</v>
      </c>
      <c r="I67" s="137">
        <v>700</v>
      </c>
      <c r="J67" s="137">
        <v>300</v>
      </c>
      <c r="K67" s="137">
        <v>230</v>
      </c>
      <c r="L67" s="137"/>
      <c r="M67" s="137"/>
    </row>
    <row r="68" spans="1:13" s="19" customFormat="1" x14ac:dyDescent="0.3">
      <c r="A68" s="135" t="s">
        <v>60</v>
      </c>
      <c r="B68" s="130" t="s">
        <v>47</v>
      </c>
      <c r="C68" s="137">
        <f>SUM(D68:M68)</f>
        <v>3100</v>
      </c>
      <c r="D68" s="137"/>
      <c r="E68" s="137"/>
      <c r="F68" s="137"/>
      <c r="G68" s="137">
        <v>400</v>
      </c>
      <c r="H68" s="137">
        <v>600</v>
      </c>
      <c r="I68" s="137">
        <v>600</v>
      </c>
      <c r="J68" s="137">
        <v>600</v>
      </c>
      <c r="K68" s="137">
        <v>600</v>
      </c>
      <c r="L68" s="137">
        <v>300</v>
      </c>
      <c r="M68" s="137"/>
    </row>
    <row r="69" spans="1:13" s="19" customFormat="1" x14ac:dyDescent="0.3">
      <c r="A69" s="135" t="s">
        <v>106</v>
      </c>
      <c r="B69" s="130" t="s">
        <v>105</v>
      </c>
      <c r="C69" s="147">
        <f>C70*31.1/C68</f>
        <v>2.6225806451612907</v>
      </c>
      <c r="D69" s="148"/>
      <c r="E69" s="148"/>
      <c r="F69" s="148"/>
      <c r="G69" s="148">
        <v>2.4</v>
      </c>
      <c r="H69" s="148">
        <v>2.8</v>
      </c>
      <c r="I69" s="148">
        <v>2.9</v>
      </c>
      <c r="J69" s="148">
        <v>2.6</v>
      </c>
      <c r="K69" s="148">
        <v>2.6</v>
      </c>
      <c r="L69" s="148">
        <v>2.1</v>
      </c>
      <c r="M69" s="148"/>
    </row>
    <row r="70" spans="1:13" x14ac:dyDescent="0.3">
      <c r="A70" s="17" t="s">
        <v>9</v>
      </c>
      <c r="B70" s="17" t="s">
        <v>103</v>
      </c>
      <c r="C70" s="33">
        <f>SUM(D70:M70)</f>
        <v>261.41479099678457</v>
      </c>
      <c r="D70" s="33">
        <f>D68*D69/31.1</f>
        <v>0</v>
      </c>
      <c r="E70" s="33">
        <f>E68*E69/31.1</f>
        <v>0</v>
      </c>
      <c r="F70" s="33">
        <f>F68*F69/31.1</f>
        <v>0</v>
      </c>
      <c r="G70" s="33">
        <f>G68*G69/31.1</f>
        <v>30.868167202572344</v>
      </c>
      <c r="H70" s="33">
        <f t="shared" ref="H70:M70" si="9">H68*H69/31.1</f>
        <v>54.019292604501608</v>
      </c>
      <c r="I70" s="33">
        <f t="shared" si="9"/>
        <v>55.948553054662376</v>
      </c>
      <c r="J70" s="33">
        <f t="shared" si="9"/>
        <v>50.160771704180064</v>
      </c>
      <c r="K70" s="33">
        <f t="shared" ref="K70" si="10">K68*K69/31.1</f>
        <v>50.160771704180064</v>
      </c>
      <c r="L70" s="33">
        <f t="shared" ref="L70" si="11">L68*L69/31.1</f>
        <v>20.2572347266881</v>
      </c>
      <c r="M70" s="33">
        <f t="shared" si="9"/>
        <v>0</v>
      </c>
    </row>
    <row r="71" spans="1:13" s="19" customFormat="1" x14ac:dyDescent="0.3">
      <c r="A71" s="149" t="s">
        <v>108</v>
      </c>
      <c r="B71" s="134" t="s">
        <v>10</v>
      </c>
      <c r="C71" s="150">
        <f>C72/C70</f>
        <v>0.9093726937269373</v>
      </c>
      <c r="D71" s="150"/>
      <c r="E71" s="150"/>
      <c r="F71" s="150"/>
      <c r="G71" s="150">
        <v>0.83</v>
      </c>
      <c r="H71" s="150">
        <v>0.92</v>
      </c>
      <c r="I71" s="150">
        <f>H71</f>
        <v>0.92</v>
      </c>
      <c r="J71" s="150">
        <f>I71</f>
        <v>0.92</v>
      </c>
      <c r="K71" s="150">
        <f>J71</f>
        <v>0.92</v>
      </c>
      <c r="L71" s="150">
        <f>K71</f>
        <v>0.92</v>
      </c>
      <c r="M71" s="150"/>
    </row>
    <row r="72" spans="1:13" x14ac:dyDescent="0.3">
      <c r="A72" s="18" t="s">
        <v>11</v>
      </c>
      <c r="B72" s="17" t="s">
        <v>103</v>
      </c>
      <c r="C72" s="32">
        <f>SUM(D72:M72)</f>
        <v>237.7234726688103</v>
      </c>
      <c r="D72" s="79">
        <f>D68*D69*D71/31.1</f>
        <v>0</v>
      </c>
      <c r="E72" s="79">
        <f t="shared" ref="E72:M72" si="12">E68*E69*E71/31.1</f>
        <v>0</v>
      </c>
      <c r="F72" s="79">
        <f t="shared" si="12"/>
        <v>0</v>
      </c>
      <c r="G72" s="79">
        <f t="shared" si="12"/>
        <v>25.620578778135044</v>
      </c>
      <c r="H72" s="79">
        <f t="shared" si="12"/>
        <v>49.69774919614148</v>
      </c>
      <c r="I72" s="79">
        <f t="shared" si="12"/>
        <v>51.472668810289392</v>
      </c>
      <c r="J72" s="79">
        <f t="shared" si="12"/>
        <v>46.147909967845656</v>
      </c>
      <c r="K72" s="79">
        <f t="shared" si="12"/>
        <v>46.147909967845656</v>
      </c>
      <c r="L72" s="79">
        <f t="shared" si="12"/>
        <v>18.636655948553056</v>
      </c>
      <c r="M72" s="79">
        <f t="shared" si="12"/>
        <v>0</v>
      </c>
    </row>
    <row r="73" spans="1:13" ht="11.5" customHeight="1" x14ac:dyDescent="0.3">
      <c r="A73" s="18"/>
      <c r="B73" s="18"/>
      <c r="D73" s="21"/>
      <c r="E73" s="21"/>
      <c r="F73" s="21"/>
      <c r="G73" s="21"/>
      <c r="H73" s="21"/>
      <c r="I73" s="21"/>
      <c r="J73" s="21"/>
      <c r="K73" s="21"/>
      <c r="L73" s="21"/>
      <c r="M73" s="21"/>
    </row>
    <row r="74" spans="1:13" x14ac:dyDescent="0.3">
      <c r="A74" s="31" t="s">
        <v>12</v>
      </c>
      <c r="B74" s="18"/>
      <c r="D74" s="21"/>
      <c r="E74" s="21"/>
      <c r="F74" s="21"/>
      <c r="G74" s="21"/>
      <c r="H74" s="21"/>
      <c r="I74" s="21"/>
      <c r="J74" s="21"/>
      <c r="K74" s="21"/>
      <c r="L74" s="21"/>
      <c r="M74" s="21"/>
    </row>
    <row r="75" spans="1:13" s="103" customFormat="1" x14ac:dyDescent="0.3">
      <c r="A75" s="151" t="str">
        <f>'Results &amp; Common Inputs'!A41</f>
        <v xml:space="preserve">Ore and gold stocks - equivalent </v>
      </c>
      <c r="B75" s="151" t="str">
        <f>'Results &amp; Common Inputs'!B41</f>
        <v>weeks</v>
      </c>
      <c r="C75" s="151"/>
      <c r="D75" s="113">
        <f>'Results &amp; Common Inputs'!D41</f>
        <v>5</v>
      </c>
      <c r="E75" s="113">
        <f>'Results &amp; Common Inputs'!E41</f>
        <v>5</v>
      </c>
      <c r="F75" s="113">
        <f>'Results &amp; Common Inputs'!F41</f>
        <v>5</v>
      </c>
      <c r="G75" s="113">
        <f>'Results &amp; Common Inputs'!G41</f>
        <v>5</v>
      </c>
      <c r="H75" s="113">
        <f>'Results &amp; Common Inputs'!H41</f>
        <v>5</v>
      </c>
      <c r="I75" s="113">
        <f>'Results &amp; Common Inputs'!I41</f>
        <v>5</v>
      </c>
      <c r="J75" s="113">
        <f>'Results &amp; Common Inputs'!J41</f>
        <v>5</v>
      </c>
      <c r="K75" s="113">
        <f>'Results &amp; Common Inputs'!K41</f>
        <v>5</v>
      </c>
      <c r="L75" s="113">
        <f>'Results &amp; Common Inputs'!L41</f>
        <v>5</v>
      </c>
      <c r="M75" s="113">
        <f>'Results &amp; Common Inputs'!M41</f>
        <v>5</v>
      </c>
    </row>
    <row r="76" spans="1:13" ht="13.5" thickBot="1" x14ac:dyDescent="0.35">
      <c r="A76" s="17" t="s">
        <v>116</v>
      </c>
      <c r="B76" s="17" t="s">
        <v>103</v>
      </c>
      <c r="C76" s="33"/>
      <c r="D76" s="33">
        <f t="shared" ref="D76:M76" si="13">IF(E72=0,0,D75/52*D72)</f>
        <v>0</v>
      </c>
      <c r="E76" s="33">
        <f t="shared" si="13"/>
        <v>0</v>
      </c>
      <c r="F76" s="33">
        <f t="shared" si="13"/>
        <v>0</v>
      </c>
      <c r="G76" s="33">
        <f t="shared" si="13"/>
        <v>2.4635171902052928</v>
      </c>
      <c r="H76" s="33">
        <f t="shared" si="13"/>
        <v>4.7786297303982197</v>
      </c>
      <c r="I76" s="33">
        <f t="shared" si="13"/>
        <v>4.9492950779124421</v>
      </c>
      <c r="J76" s="33">
        <f t="shared" si="13"/>
        <v>4.437299035369775</v>
      </c>
      <c r="K76" s="33">
        <f t="shared" si="13"/>
        <v>4.437299035369775</v>
      </c>
      <c r="L76" s="33">
        <f t="shared" si="13"/>
        <v>0</v>
      </c>
      <c r="M76" s="33">
        <f t="shared" si="13"/>
        <v>0</v>
      </c>
    </row>
    <row r="77" spans="1:13" ht="13.5" thickBot="1" x14ac:dyDescent="0.35">
      <c r="A77" s="18" t="s">
        <v>14</v>
      </c>
      <c r="B77" s="17" t="s">
        <v>103</v>
      </c>
      <c r="C77" s="32">
        <f>SUM(D77:M77)</f>
        <v>237.7234726688103</v>
      </c>
      <c r="D77" s="22">
        <v>0</v>
      </c>
      <c r="E77" s="156">
        <f t="shared" ref="E77:M77" si="14">D76+E72-E76</f>
        <v>0</v>
      </c>
      <c r="F77" s="79">
        <f t="shared" si="14"/>
        <v>0</v>
      </c>
      <c r="G77" s="79">
        <f t="shared" si="14"/>
        <v>23.157061587929753</v>
      </c>
      <c r="H77" s="79">
        <f t="shared" si="14"/>
        <v>47.382636655948552</v>
      </c>
      <c r="I77" s="79">
        <f t="shared" si="14"/>
        <v>51.302003462775176</v>
      </c>
      <c r="J77" s="79">
        <f t="shared" si="14"/>
        <v>46.659906010388326</v>
      </c>
      <c r="K77" s="79">
        <f t="shared" si="14"/>
        <v>46.147909967845656</v>
      </c>
      <c r="L77" s="79">
        <f t="shared" si="14"/>
        <v>23.073954983922832</v>
      </c>
      <c r="M77" s="79">
        <f t="shared" si="14"/>
        <v>0</v>
      </c>
    </row>
    <row r="78" spans="1:13" x14ac:dyDescent="0.3">
      <c r="A78" s="18"/>
      <c r="B78" s="18"/>
      <c r="D78" s="21"/>
      <c r="E78" s="32"/>
      <c r="F78" s="32"/>
      <c r="G78" s="32"/>
      <c r="H78" s="32"/>
      <c r="I78" s="32"/>
      <c r="J78" s="32"/>
      <c r="K78" s="32"/>
      <c r="L78" s="32"/>
      <c r="M78" s="32"/>
    </row>
    <row r="79" spans="1:13" x14ac:dyDescent="0.3">
      <c r="A79" s="31" t="s">
        <v>15</v>
      </c>
      <c r="B79" s="18"/>
      <c r="D79" s="21"/>
      <c r="E79" s="21"/>
      <c r="F79" s="21"/>
      <c r="G79" s="21"/>
      <c r="H79" s="21"/>
      <c r="I79" s="21"/>
      <c r="J79" s="21"/>
      <c r="K79" s="21"/>
      <c r="L79" s="21"/>
      <c r="M79" s="21"/>
    </row>
    <row r="80" spans="1:13" s="103" customFormat="1" x14ac:dyDescent="0.3">
      <c r="A80" s="151" t="str">
        <f>'Results &amp; Common Inputs'!A31</f>
        <v>Gold price forecast</v>
      </c>
      <c r="B80" s="151" t="str">
        <f>'Results &amp; Common Inputs'!B31</f>
        <v>US$/ounce Real</v>
      </c>
      <c r="C80" s="151"/>
      <c r="D80" s="113">
        <f>'Results &amp; Common Inputs'!D31</f>
        <v>2000</v>
      </c>
      <c r="E80" s="113">
        <f>'Results &amp; Common Inputs'!E31</f>
        <v>2000</v>
      </c>
      <c r="F80" s="113">
        <f>'Results &amp; Common Inputs'!F31</f>
        <v>2000</v>
      </c>
      <c r="G80" s="113">
        <f>'Results &amp; Common Inputs'!G31</f>
        <v>2000</v>
      </c>
      <c r="H80" s="113">
        <f>'Results &amp; Common Inputs'!H31</f>
        <v>2000</v>
      </c>
      <c r="I80" s="113">
        <f>'Results &amp; Common Inputs'!I31</f>
        <v>2000</v>
      </c>
      <c r="J80" s="113">
        <f>'Results &amp; Common Inputs'!J31</f>
        <v>2000</v>
      </c>
      <c r="K80" s="113">
        <f>'Results &amp; Common Inputs'!K31</f>
        <v>2000</v>
      </c>
      <c r="L80" s="113">
        <f>'Results &amp; Common Inputs'!L31</f>
        <v>2000</v>
      </c>
      <c r="M80" s="113">
        <f>'Results &amp; Common Inputs'!M31</f>
        <v>2000</v>
      </c>
    </row>
    <row r="81" spans="1:13" x14ac:dyDescent="0.3">
      <c r="A81" s="18" t="s">
        <v>18</v>
      </c>
      <c r="B81" s="17" t="s">
        <v>124</v>
      </c>
      <c r="C81" s="32">
        <f>SUM(D81:M81)</f>
        <v>475446.94533762056</v>
      </c>
      <c r="D81" s="32">
        <f t="shared" ref="D81:M81" si="15">D77*D80</f>
        <v>0</v>
      </c>
      <c r="E81" s="32">
        <f t="shared" si="15"/>
        <v>0</v>
      </c>
      <c r="F81" s="32">
        <f t="shared" si="15"/>
        <v>0</v>
      </c>
      <c r="G81" s="32">
        <f t="shared" si="15"/>
        <v>46314.12317585951</v>
      </c>
      <c r="H81" s="32">
        <f t="shared" si="15"/>
        <v>94765.273311897108</v>
      </c>
      <c r="I81" s="32">
        <f t="shared" si="15"/>
        <v>102604.00692555035</v>
      </c>
      <c r="J81" s="32">
        <f t="shared" si="15"/>
        <v>93319.812020776648</v>
      </c>
      <c r="K81" s="32">
        <f t="shared" si="15"/>
        <v>92295.81993569131</v>
      </c>
      <c r="L81" s="32">
        <f t="shared" si="15"/>
        <v>46147.909967845662</v>
      </c>
      <c r="M81" s="32">
        <f t="shared" si="15"/>
        <v>0</v>
      </c>
    </row>
    <row r="82" spans="1:13" x14ac:dyDescent="0.3">
      <c r="A82" s="18"/>
      <c r="B82" s="18"/>
      <c r="D82" s="21"/>
      <c r="E82" s="21"/>
      <c r="F82" s="21"/>
      <c r="G82" s="21"/>
      <c r="H82" s="21"/>
      <c r="I82" s="21"/>
      <c r="J82" s="21"/>
      <c r="K82" s="21"/>
      <c r="L82" s="21"/>
      <c r="M82" s="21"/>
    </row>
    <row r="83" spans="1:13" x14ac:dyDescent="0.3">
      <c r="A83" s="31" t="s">
        <v>19</v>
      </c>
      <c r="B83" s="18"/>
      <c r="D83" s="21"/>
      <c r="E83" s="21"/>
      <c r="F83" s="21"/>
      <c r="G83" s="21"/>
      <c r="H83" s="21"/>
      <c r="I83" s="21"/>
      <c r="J83" s="21"/>
      <c r="K83" s="21"/>
      <c r="L83" s="21"/>
      <c r="M83" s="21"/>
    </row>
    <row r="84" spans="1:13" s="103" customFormat="1" x14ac:dyDescent="0.3">
      <c r="A84" s="151" t="str">
        <f>'Results &amp; Common Inputs'!A42</f>
        <v>Debtors (who owe you cash)</v>
      </c>
      <c r="B84" s="151" t="str">
        <f>'Results &amp; Common Inputs'!B42</f>
        <v>days</v>
      </c>
      <c r="C84" s="151"/>
      <c r="D84" s="113">
        <f>'Results &amp; Common Inputs'!D42</f>
        <v>30</v>
      </c>
      <c r="E84" s="113">
        <f>'Results &amp; Common Inputs'!E42</f>
        <v>30</v>
      </c>
      <c r="F84" s="113">
        <f>'Results &amp; Common Inputs'!F42</f>
        <v>30</v>
      </c>
      <c r="G84" s="113">
        <f>'Results &amp; Common Inputs'!G42</f>
        <v>30</v>
      </c>
      <c r="H84" s="113">
        <f>'Results &amp; Common Inputs'!H42</f>
        <v>30</v>
      </c>
      <c r="I84" s="113">
        <f>'Results &amp; Common Inputs'!I42</f>
        <v>30</v>
      </c>
      <c r="J84" s="113">
        <f>'Results &amp; Common Inputs'!J42</f>
        <v>30</v>
      </c>
      <c r="K84" s="113">
        <f>'Results &amp; Common Inputs'!K42</f>
        <v>30</v>
      </c>
      <c r="L84" s="113">
        <f>'Results &amp; Common Inputs'!L42</f>
        <v>30</v>
      </c>
      <c r="M84" s="113">
        <f>'Results &amp; Common Inputs'!M42</f>
        <v>30</v>
      </c>
    </row>
    <row r="85" spans="1:13" ht="13.5" thickBot="1" x14ac:dyDescent="0.35">
      <c r="A85" s="17" t="s">
        <v>21</v>
      </c>
      <c r="B85" s="17" t="s">
        <v>124</v>
      </c>
      <c r="C85" s="32"/>
      <c r="D85" s="33">
        <f t="shared" ref="D85:M85" si="16">IF(E72=0,0,D81*D84/365)</f>
        <v>0</v>
      </c>
      <c r="E85" s="33">
        <f t="shared" si="16"/>
        <v>0</v>
      </c>
      <c r="F85" s="33">
        <f t="shared" si="16"/>
        <v>0</v>
      </c>
      <c r="G85" s="33">
        <f t="shared" si="16"/>
        <v>3806.640261029549</v>
      </c>
      <c r="H85" s="33">
        <f t="shared" si="16"/>
        <v>7788.9265735805839</v>
      </c>
      <c r="I85" s="33">
        <f t="shared" si="16"/>
        <v>8433.2060486753708</v>
      </c>
      <c r="J85" s="33">
        <f t="shared" si="16"/>
        <v>7670.1215359542457</v>
      </c>
      <c r="K85" s="33">
        <f t="shared" si="16"/>
        <v>7585.9578029335325</v>
      </c>
      <c r="L85" s="33">
        <f t="shared" si="16"/>
        <v>0</v>
      </c>
      <c r="M85" s="33">
        <f t="shared" si="16"/>
        <v>0</v>
      </c>
    </row>
    <row r="86" spans="1:13" ht="13.5" thickBot="1" x14ac:dyDescent="0.35">
      <c r="A86" s="17" t="s">
        <v>104</v>
      </c>
      <c r="B86" s="17" t="s">
        <v>124</v>
      </c>
      <c r="C86" s="32">
        <f>SUM(D86:M86)</f>
        <v>0</v>
      </c>
      <c r="D86" s="22">
        <v>0</v>
      </c>
      <c r="E86" s="157">
        <f>E85-D85</f>
        <v>0</v>
      </c>
      <c r="F86" s="37">
        <f>F85-E85</f>
        <v>0</v>
      </c>
      <c r="G86" s="37">
        <f t="shared" ref="G86:M86" si="17">G85-F85</f>
        <v>3806.640261029549</v>
      </c>
      <c r="H86" s="37">
        <f t="shared" si="17"/>
        <v>3982.2863125510348</v>
      </c>
      <c r="I86" s="37">
        <f t="shared" si="17"/>
        <v>644.2794750947869</v>
      </c>
      <c r="J86" s="37">
        <f t="shared" si="17"/>
        <v>-763.08451272112507</v>
      </c>
      <c r="K86" s="37">
        <f t="shared" si="17"/>
        <v>-84.163733020713153</v>
      </c>
      <c r="L86" s="37">
        <f t="shared" si="17"/>
        <v>-7585.9578029335325</v>
      </c>
      <c r="M86" s="37">
        <f t="shared" si="17"/>
        <v>0</v>
      </c>
    </row>
    <row r="87" spans="1:13" ht="13.5" customHeight="1" x14ac:dyDescent="0.3">
      <c r="A87" s="18"/>
      <c r="B87" s="18"/>
      <c r="D87" s="21"/>
      <c r="E87" s="21"/>
      <c r="F87" s="21"/>
      <c r="G87" s="21"/>
      <c r="H87" s="21"/>
      <c r="I87" s="21"/>
      <c r="J87" s="21"/>
      <c r="K87" s="21"/>
      <c r="L87" s="21"/>
      <c r="M87" s="21"/>
    </row>
    <row r="88" spans="1:13" ht="15.5" x14ac:dyDescent="0.35">
      <c r="A88" s="107" t="s">
        <v>72</v>
      </c>
      <c r="B88" s="17" t="s">
        <v>124</v>
      </c>
      <c r="C88" s="155">
        <f>SUM(D88:M88)</f>
        <v>475446.94533762056</v>
      </c>
      <c r="D88" s="108">
        <f t="shared" ref="D88:M88" si="18">D81-D86</f>
        <v>0</v>
      </c>
      <c r="E88" s="108">
        <f t="shared" si="18"/>
        <v>0</v>
      </c>
      <c r="F88" s="108">
        <f t="shared" si="18"/>
        <v>0</v>
      </c>
      <c r="G88" s="108">
        <f t="shared" si="18"/>
        <v>42507.482914829961</v>
      </c>
      <c r="H88" s="108">
        <f t="shared" si="18"/>
        <v>90782.986999346074</v>
      </c>
      <c r="I88" s="108">
        <f t="shared" si="18"/>
        <v>101959.72745045557</v>
      </c>
      <c r="J88" s="108">
        <f t="shared" si="18"/>
        <v>94082.896533497769</v>
      </c>
      <c r="K88" s="108">
        <f t="shared" si="18"/>
        <v>92379.983668712026</v>
      </c>
      <c r="L88" s="108">
        <f t="shared" si="18"/>
        <v>53733.867770779194</v>
      </c>
      <c r="M88" s="108">
        <f t="shared" si="18"/>
        <v>0</v>
      </c>
    </row>
    <row r="89" spans="1:13" ht="23.5" customHeight="1" x14ac:dyDescent="0.3">
      <c r="C89" s="32"/>
      <c r="D89" s="32"/>
      <c r="E89" s="32"/>
      <c r="F89" s="32"/>
      <c r="G89" s="32"/>
      <c r="H89" s="32"/>
      <c r="I89" s="32"/>
      <c r="J89" s="32"/>
      <c r="K89" s="32"/>
      <c r="L89" s="32"/>
      <c r="M89" s="32"/>
    </row>
    <row r="90" spans="1:13" s="183" customFormat="1" ht="27.5" customHeight="1" x14ac:dyDescent="0.35">
      <c r="A90" s="180" t="str">
        <f>'Results &amp; Common Inputs'!A$28</f>
        <v>Life of Business</v>
      </c>
      <c r="B90" s="180" t="str">
        <f>'Results &amp; Common Inputs'!B$28</f>
        <v>units</v>
      </c>
      <c r="C90" s="181" t="str">
        <f>'Results &amp; Common Inputs'!C$28</f>
        <v>Total</v>
      </c>
      <c r="D90" s="182">
        <f>'Results &amp; Common Inputs'!D$28</f>
        <v>2026</v>
      </c>
      <c r="E90" s="182">
        <f>'Results &amp; Common Inputs'!E$28</f>
        <v>2027</v>
      </c>
      <c r="F90" s="182">
        <f>'Results &amp; Common Inputs'!F$28</f>
        <v>2028</v>
      </c>
      <c r="G90" s="182">
        <f>'Results &amp; Common Inputs'!G$28</f>
        <v>2029</v>
      </c>
      <c r="H90" s="182">
        <f>'Results &amp; Common Inputs'!H$28</f>
        <v>2030</v>
      </c>
      <c r="I90" s="182">
        <f>'Results &amp; Common Inputs'!I$28</f>
        <v>2031</v>
      </c>
      <c r="J90" s="182">
        <f>'Results &amp; Common Inputs'!J$28</f>
        <v>2032</v>
      </c>
      <c r="K90" s="182">
        <f>'Results &amp; Common Inputs'!K$28</f>
        <v>2033</v>
      </c>
      <c r="L90" s="182">
        <f>'Results &amp; Common Inputs'!L$28</f>
        <v>2034</v>
      </c>
      <c r="M90" s="182">
        <f>'Results &amp; Common Inputs'!M$28</f>
        <v>2035</v>
      </c>
    </row>
    <row r="91" spans="1:13" s="63" customFormat="1" ht="43.75" customHeight="1" x14ac:dyDescent="0.35">
      <c r="A91" s="98" t="s">
        <v>22</v>
      </c>
      <c r="C91" s="64"/>
      <c r="D91" s="64"/>
      <c r="E91" s="64"/>
      <c r="F91" s="64"/>
      <c r="G91" s="64"/>
      <c r="H91" s="64"/>
      <c r="I91" s="64"/>
      <c r="J91" s="64"/>
      <c r="K91" s="64"/>
      <c r="L91" s="64"/>
      <c r="M91" s="64"/>
    </row>
    <row r="92" spans="1:13" x14ac:dyDescent="0.3">
      <c r="A92" s="31" t="s">
        <v>50</v>
      </c>
      <c r="B92" s="18"/>
      <c r="D92" s="21"/>
      <c r="E92" s="21"/>
      <c r="F92" s="21"/>
      <c r="G92" s="21"/>
      <c r="H92" s="21"/>
      <c r="I92" s="21"/>
      <c r="J92" s="21"/>
      <c r="K92" s="21"/>
      <c r="L92" s="21"/>
      <c r="M92" s="21"/>
    </row>
    <row r="93" spans="1:13" x14ac:dyDescent="0.3">
      <c r="A93" s="92" t="s">
        <v>199</v>
      </c>
      <c r="C93" s="11"/>
    </row>
    <row r="94" spans="1:13" x14ac:dyDescent="0.3">
      <c r="A94" s="121" t="s">
        <v>48</v>
      </c>
      <c r="B94" s="121" t="s">
        <v>124</v>
      </c>
      <c r="C94" s="33">
        <f>SUM(D94:M94)</f>
        <v>2000</v>
      </c>
      <c r="D94" s="123">
        <v>2000</v>
      </c>
      <c r="E94" s="123"/>
      <c r="F94" s="123"/>
      <c r="G94" s="123"/>
      <c r="H94" s="123"/>
      <c r="I94" s="123"/>
      <c r="J94" s="123"/>
      <c r="K94" s="123"/>
      <c r="L94" s="123"/>
      <c r="M94" s="123"/>
    </row>
    <row r="95" spans="1:13" x14ac:dyDescent="0.3">
      <c r="A95" s="121" t="s">
        <v>134</v>
      </c>
      <c r="B95" s="121" t="s">
        <v>124</v>
      </c>
      <c r="C95" s="33"/>
      <c r="D95" s="123"/>
      <c r="E95" s="123"/>
      <c r="F95" s="123">
        <v>8000</v>
      </c>
      <c r="G95" s="123"/>
      <c r="H95" s="123"/>
      <c r="I95" s="123"/>
      <c r="J95" s="123"/>
      <c r="K95" s="123"/>
      <c r="L95" s="123"/>
      <c r="M95" s="123"/>
    </row>
    <row r="96" spans="1:13" x14ac:dyDescent="0.3">
      <c r="A96" s="121" t="s">
        <v>82</v>
      </c>
      <c r="B96" s="121" t="s">
        <v>124</v>
      </c>
      <c r="C96" s="33">
        <f t="shared" ref="C96:C101" si="19">SUM(D96:M96)</f>
        <v>5000</v>
      </c>
      <c r="D96" s="123">
        <v>2500</v>
      </c>
      <c r="E96" s="123">
        <v>2500</v>
      </c>
      <c r="F96" s="123"/>
      <c r="G96" s="123"/>
      <c r="H96" s="123"/>
      <c r="I96" s="123"/>
      <c r="J96" s="123"/>
      <c r="K96" s="123"/>
      <c r="L96" s="123"/>
      <c r="M96" s="123"/>
    </row>
    <row r="97" spans="1:13" x14ac:dyDescent="0.3">
      <c r="A97" s="121" t="s">
        <v>83</v>
      </c>
      <c r="B97" s="121" t="s">
        <v>124</v>
      </c>
      <c r="C97" s="33">
        <f t="shared" si="19"/>
        <v>17000</v>
      </c>
      <c r="D97" s="123"/>
      <c r="E97" s="123">
        <v>10000</v>
      </c>
      <c r="F97" s="123">
        <v>7000</v>
      </c>
      <c r="G97" s="123"/>
      <c r="H97" s="123"/>
      <c r="I97" s="123"/>
      <c r="J97" s="123"/>
      <c r="K97" s="123"/>
      <c r="L97" s="123"/>
      <c r="M97" s="123"/>
    </row>
    <row r="98" spans="1:13" x14ac:dyDescent="0.3">
      <c r="A98" s="121" t="s">
        <v>84</v>
      </c>
      <c r="B98" s="121" t="s">
        <v>124</v>
      </c>
      <c r="C98" s="33">
        <f t="shared" si="19"/>
        <v>14000</v>
      </c>
      <c r="D98" s="123"/>
      <c r="E98" s="123">
        <v>9000</v>
      </c>
      <c r="F98" s="123">
        <v>5000</v>
      </c>
      <c r="G98" s="123"/>
      <c r="H98" s="123"/>
      <c r="I98" s="123"/>
      <c r="J98" s="123"/>
      <c r="K98" s="123"/>
      <c r="L98" s="123"/>
      <c r="M98" s="123"/>
    </row>
    <row r="99" spans="1:13" x14ac:dyDescent="0.3">
      <c r="A99" s="121" t="s">
        <v>85</v>
      </c>
      <c r="B99" s="121" t="s">
        <v>124</v>
      </c>
      <c r="C99" s="33">
        <f t="shared" si="19"/>
        <v>5500</v>
      </c>
      <c r="D99" s="123"/>
      <c r="E99" s="123">
        <v>4000</v>
      </c>
      <c r="F99" s="123">
        <v>1500</v>
      </c>
      <c r="G99" s="123"/>
      <c r="H99" s="123"/>
      <c r="I99" s="123"/>
      <c r="J99" s="123"/>
      <c r="K99" s="123"/>
      <c r="L99" s="123"/>
      <c r="M99" s="123"/>
    </row>
    <row r="100" spans="1:13" x14ac:dyDescent="0.3">
      <c r="A100" s="121" t="s">
        <v>86</v>
      </c>
      <c r="B100" s="121" t="s">
        <v>124</v>
      </c>
      <c r="C100" s="33">
        <f t="shared" si="19"/>
        <v>5000</v>
      </c>
      <c r="D100" s="123"/>
      <c r="E100" s="123">
        <v>2500</v>
      </c>
      <c r="F100" s="123">
        <v>2500</v>
      </c>
      <c r="G100" s="123"/>
      <c r="H100" s="123"/>
      <c r="I100" s="123"/>
      <c r="J100" s="123"/>
      <c r="K100" s="123"/>
      <c r="L100" s="123"/>
      <c r="M100" s="123"/>
    </row>
    <row r="101" spans="1:13" x14ac:dyDescent="0.3">
      <c r="A101" s="121" t="s">
        <v>117</v>
      </c>
      <c r="B101" s="121" t="s">
        <v>124</v>
      </c>
      <c r="C101" s="33">
        <f t="shared" si="19"/>
        <v>5500</v>
      </c>
      <c r="D101" s="123"/>
      <c r="E101" s="123">
        <v>3000</v>
      </c>
      <c r="F101" s="123">
        <v>2500</v>
      </c>
      <c r="G101" s="123"/>
      <c r="H101" s="123"/>
      <c r="I101" s="123"/>
      <c r="J101" s="123"/>
      <c r="K101" s="123"/>
      <c r="L101" s="123"/>
      <c r="M101" s="123"/>
    </row>
    <row r="102" spans="1:13" s="35" customFormat="1" x14ac:dyDescent="0.3">
      <c r="A102" s="34" t="s">
        <v>49</v>
      </c>
      <c r="B102" s="17" t="s">
        <v>124</v>
      </c>
      <c r="C102" s="32">
        <f>SUM(D102:M102)</f>
        <v>62000</v>
      </c>
      <c r="D102" s="79">
        <f>SUM(D94:D101)</f>
        <v>4500</v>
      </c>
      <c r="E102" s="79">
        <f t="shared" ref="E102:M102" si="20">SUM(E94:E101)</f>
        <v>31000</v>
      </c>
      <c r="F102" s="79">
        <f t="shared" si="20"/>
        <v>26500</v>
      </c>
      <c r="G102" s="79">
        <f>SUM(G94:G101)</f>
        <v>0</v>
      </c>
      <c r="H102" s="79">
        <f t="shared" si="20"/>
        <v>0</v>
      </c>
      <c r="I102" s="79">
        <f t="shared" si="20"/>
        <v>0</v>
      </c>
      <c r="J102" s="79">
        <f t="shared" si="20"/>
        <v>0</v>
      </c>
      <c r="K102" s="79">
        <f t="shared" si="20"/>
        <v>0</v>
      </c>
      <c r="L102" s="79">
        <f t="shared" si="20"/>
        <v>0</v>
      </c>
      <c r="M102" s="79">
        <f t="shared" si="20"/>
        <v>0</v>
      </c>
    </row>
    <row r="103" spans="1:13" x14ac:dyDescent="0.3">
      <c r="C103" s="33"/>
      <c r="D103" s="33"/>
      <c r="E103" s="33"/>
      <c r="F103" s="33"/>
      <c r="G103" s="33"/>
      <c r="H103" s="33"/>
      <c r="I103" s="33"/>
      <c r="J103" s="33"/>
      <c r="K103" s="33"/>
      <c r="L103" s="33"/>
      <c r="M103" s="33"/>
    </row>
    <row r="104" spans="1:13" x14ac:dyDescent="0.3">
      <c r="A104" s="31" t="s">
        <v>51</v>
      </c>
      <c r="B104" s="18"/>
      <c r="D104" s="21"/>
      <c r="E104" s="21"/>
      <c r="F104" s="21"/>
      <c r="G104" s="21"/>
      <c r="H104" s="21"/>
      <c r="I104" s="21"/>
      <c r="J104" s="21"/>
      <c r="K104" s="21"/>
      <c r="L104" s="21"/>
      <c r="M104" s="21"/>
    </row>
    <row r="105" spans="1:13" x14ac:dyDescent="0.3">
      <c r="A105" s="92" t="s">
        <v>200</v>
      </c>
      <c r="C105" s="11"/>
    </row>
    <row r="106" spans="1:13" x14ac:dyDescent="0.3">
      <c r="A106" s="121" t="s">
        <v>87</v>
      </c>
      <c r="B106" s="121" t="s">
        <v>124</v>
      </c>
      <c r="C106" s="33">
        <f>SUM(D106:M106)</f>
        <v>1500</v>
      </c>
      <c r="D106" s="123"/>
      <c r="E106" s="123"/>
      <c r="F106" s="123"/>
      <c r="G106" s="123"/>
      <c r="H106" s="123"/>
      <c r="I106" s="123">
        <v>1500</v>
      </c>
      <c r="J106" s="123"/>
      <c r="K106" s="123"/>
      <c r="L106" s="123"/>
      <c r="M106" s="123"/>
    </row>
    <row r="107" spans="1:13" ht="7.25" customHeight="1" x14ac:dyDescent="0.3">
      <c r="C107" s="33"/>
      <c r="D107" s="33"/>
      <c r="E107" s="33"/>
      <c r="F107" s="33"/>
      <c r="G107" s="33"/>
      <c r="H107" s="33"/>
      <c r="I107" s="33"/>
      <c r="J107" s="33"/>
      <c r="K107" s="33"/>
      <c r="L107" s="33"/>
      <c r="M107" s="33"/>
    </row>
    <row r="108" spans="1:13" x14ac:dyDescent="0.3">
      <c r="A108" s="121" t="s">
        <v>118</v>
      </c>
      <c r="B108" s="121" t="s">
        <v>52</v>
      </c>
      <c r="C108" s="33"/>
      <c r="D108" s="158">
        <v>0.1</v>
      </c>
      <c r="E108" s="158">
        <f>D108</f>
        <v>0.1</v>
      </c>
      <c r="F108" s="158">
        <f t="shared" ref="F108:M108" si="21">E108</f>
        <v>0.1</v>
      </c>
      <c r="G108" s="158">
        <f t="shared" si="21"/>
        <v>0.1</v>
      </c>
      <c r="H108" s="158">
        <f t="shared" si="21"/>
        <v>0.1</v>
      </c>
      <c r="I108" s="158">
        <f t="shared" si="21"/>
        <v>0.1</v>
      </c>
      <c r="J108" s="158">
        <f t="shared" si="21"/>
        <v>0.1</v>
      </c>
      <c r="K108" s="158">
        <f t="shared" si="21"/>
        <v>0.1</v>
      </c>
      <c r="L108" s="158">
        <f t="shared" si="21"/>
        <v>0.1</v>
      </c>
      <c r="M108" s="158">
        <f t="shared" si="21"/>
        <v>0.1</v>
      </c>
    </row>
    <row r="109" spans="1:13" x14ac:dyDescent="0.3">
      <c r="A109" s="17" t="s">
        <v>53</v>
      </c>
      <c r="B109" s="17" t="s">
        <v>124</v>
      </c>
      <c r="C109" s="33">
        <f>SUM(D109:M109)</f>
        <v>37200</v>
      </c>
      <c r="D109" s="33">
        <f t="shared" ref="D109:M109" si="22">IF(D72=0,0,$C102*D108)</f>
        <v>0</v>
      </c>
      <c r="E109" s="33">
        <f t="shared" si="22"/>
        <v>0</v>
      </c>
      <c r="F109" s="33">
        <f t="shared" si="22"/>
        <v>0</v>
      </c>
      <c r="G109" s="33">
        <f t="shared" si="22"/>
        <v>6200</v>
      </c>
      <c r="H109" s="33">
        <f t="shared" si="22"/>
        <v>6200</v>
      </c>
      <c r="I109" s="33">
        <f t="shared" si="22"/>
        <v>6200</v>
      </c>
      <c r="J109" s="33">
        <f t="shared" si="22"/>
        <v>6200</v>
      </c>
      <c r="K109" s="33">
        <f t="shared" si="22"/>
        <v>6200</v>
      </c>
      <c r="L109" s="33">
        <f t="shared" si="22"/>
        <v>6200</v>
      </c>
      <c r="M109" s="33">
        <f t="shared" si="22"/>
        <v>0</v>
      </c>
    </row>
    <row r="110" spans="1:13" ht="7.75" customHeight="1" x14ac:dyDescent="0.3">
      <c r="C110" s="33"/>
      <c r="D110" s="33"/>
      <c r="E110" s="33"/>
      <c r="F110" s="33"/>
      <c r="G110" s="33"/>
      <c r="H110" s="33"/>
      <c r="I110" s="33"/>
      <c r="J110" s="33"/>
      <c r="K110" s="33"/>
      <c r="L110" s="33"/>
      <c r="M110" s="33"/>
    </row>
    <row r="111" spans="1:13" s="35" customFormat="1" x14ac:dyDescent="0.3">
      <c r="A111" s="34" t="s">
        <v>88</v>
      </c>
      <c r="B111" s="17" t="s">
        <v>124</v>
      </c>
      <c r="C111" s="32">
        <f>SUM(D111:M111)</f>
        <v>38700</v>
      </c>
      <c r="D111" s="79">
        <f t="shared" ref="D111:M111" si="23">D106+D109</f>
        <v>0</v>
      </c>
      <c r="E111" s="79">
        <f t="shared" si="23"/>
        <v>0</v>
      </c>
      <c r="F111" s="79">
        <f t="shared" si="23"/>
        <v>0</v>
      </c>
      <c r="G111" s="79">
        <f t="shared" si="23"/>
        <v>6200</v>
      </c>
      <c r="H111" s="79">
        <f t="shared" si="23"/>
        <v>6200</v>
      </c>
      <c r="I111" s="79">
        <f t="shared" si="23"/>
        <v>7700</v>
      </c>
      <c r="J111" s="79">
        <f t="shared" si="23"/>
        <v>6200</v>
      </c>
      <c r="K111" s="79">
        <f t="shared" si="23"/>
        <v>6200</v>
      </c>
      <c r="L111" s="79">
        <f t="shared" si="23"/>
        <v>6200</v>
      </c>
      <c r="M111" s="79">
        <f t="shared" si="23"/>
        <v>0</v>
      </c>
    </row>
    <row r="112" spans="1:13" x14ac:dyDescent="0.3">
      <c r="C112" s="33"/>
      <c r="D112" s="33"/>
      <c r="E112" s="33"/>
      <c r="F112" s="33"/>
      <c r="G112" s="33"/>
      <c r="H112" s="33"/>
      <c r="I112" s="33"/>
      <c r="J112" s="33"/>
      <c r="K112" s="33"/>
      <c r="L112" s="33"/>
      <c r="M112" s="33"/>
    </row>
    <row r="113" spans="1:13" ht="15.5" x14ac:dyDescent="0.35">
      <c r="A113" s="107" t="s">
        <v>73</v>
      </c>
      <c r="B113" s="17" t="s">
        <v>124</v>
      </c>
      <c r="C113" s="155">
        <f>SUM(D113:M113)</f>
        <v>100700</v>
      </c>
      <c r="D113" s="108">
        <f t="shared" ref="D113:M113" si="24">D102+D111</f>
        <v>4500</v>
      </c>
      <c r="E113" s="108">
        <f t="shared" si="24"/>
        <v>31000</v>
      </c>
      <c r="F113" s="108">
        <f t="shared" si="24"/>
        <v>26500</v>
      </c>
      <c r="G113" s="108">
        <f t="shared" si="24"/>
        <v>6200</v>
      </c>
      <c r="H113" s="108">
        <f t="shared" si="24"/>
        <v>6200</v>
      </c>
      <c r="I113" s="108">
        <f t="shared" si="24"/>
        <v>7700</v>
      </c>
      <c r="J113" s="108">
        <f t="shared" si="24"/>
        <v>6200</v>
      </c>
      <c r="K113" s="108">
        <f t="shared" si="24"/>
        <v>6200</v>
      </c>
      <c r="L113" s="108">
        <f t="shared" si="24"/>
        <v>6200</v>
      </c>
      <c r="M113" s="108">
        <f t="shared" si="24"/>
        <v>0</v>
      </c>
    </row>
    <row r="114" spans="1:13" ht="10" customHeight="1" x14ac:dyDescent="0.3">
      <c r="A114" s="18"/>
      <c r="B114" s="18"/>
      <c r="D114" s="21"/>
      <c r="E114" s="21"/>
      <c r="F114" s="21"/>
      <c r="G114" s="21"/>
      <c r="H114" s="21"/>
      <c r="I114" s="21"/>
      <c r="J114" s="21"/>
      <c r="K114" s="21"/>
      <c r="L114" s="21"/>
      <c r="M114" s="21"/>
    </row>
    <row r="115" spans="1:13" ht="28.5" customHeight="1" x14ac:dyDescent="0.35">
      <c r="A115" s="109" t="s">
        <v>23</v>
      </c>
      <c r="B115" s="18"/>
      <c r="D115" s="21"/>
      <c r="E115" s="21"/>
      <c r="F115" s="21"/>
      <c r="G115" s="21"/>
      <c r="H115" s="21"/>
      <c r="I115" s="21"/>
      <c r="J115" s="21"/>
      <c r="K115" s="21"/>
      <c r="L115" s="21"/>
      <c r="M115" s="21"/>
    </row>
    <row r="116" spans="1:13" x14ac:dyDescent="0.3">
      <c r="A116" s="58" t="s">
        <v>202</v>
      </c>
      <c r="C116" s="11"/>
    </row>
    <row r="117" spans="1:13" x14ac:dyDescent="0.3">
      <c r="A117" s="58" t="s">
        <v>203</v>
      </c>
      <c r="C117" s="11"/>
    </row>
    <row r="118" spans="1:13" x14ac:dyDescent="0.3">
      <c r="A118" s="58" t="s">
        <v>204</v>
      </c>
      <c r="C118" s="11"/>
    </row>
    <row r="119" spans="1:13" x14ac:dyDescent="0.3">
      <c r="A119" s="92" t="s">
        <v>205</v>
      </c>
      <c r="C119" s="11"/>
    </row>
    <row r="120" spans="1:13" x14ac:dyDescent="0.3">
      <c r="A120" s="92" t="s">
        <v>206</v>
      </c>
      <c r="C120" s="11"/>
    </row>
    <row r="121" spans="1:13" x14ac:dyDescent="0.3">
      <c r="A121" s="58" t="s">
        <v>207</v>
      </c>
      <c r="C121" s="11"/>
    </row>
    <row r="122" spans="1:13" x14ac:dyDescent="0.3">
      <c r="A122" s="56" t="s">
        <v>24</v>
      </c>
      <c r="B122" s="56" t="s">
        <v>54</v>
      </c>
      <c r="C122" s="33"/>
      <c r="D122" s="57">
        <f>1/6*150%</f>
        <v>0.25</v>
      </c>
      <c r="E122" s="57">
        <f>D122</f>
        <v>0.25</v>
      </c>
      <c r="F122" s="57">
        <f t="shared" ref="F122:M122" si="25">E122</f>
        <v>0.25</v>
      </c>
      <c r="G122" s="57">
        <f t="shared" si="25"/>
        <v>0.25</v>
      </c>
      <c r="H122" s="57">
        <f t="shared" si="25"/>
        <v>0.25</v>
      </c>
      <c r="I122" s="57">
        <f t="shared" si="25"/>
        <v>0.25</v>
      </c>
      <c r="J122" s="57">
        <f t="shared" si="25"/>
        <v>0.25</v>
      </c>
      <c r="K122" s="57">
        <f t="shared" si="25"/>
        <v>0.25</v>
      </c>
      <c r="L122" s="57">
        <f t="shared" si="25"/>
        <v>0.25</v>
      </c>
      <c r="M122" s="57">
        <f t="shared" si="25"/>
        <v>0.25</v>
      </c>
    </row>
    <row r="123" spans="1:13" x14ac:dyDescent="0.3">
      <c r="C123" s="33"/>
      <c r="D123" s="33"/>
      <c r="E123" s="33"/>
      <c r="F123" s="33"/>
      <c r="G123" s="33"/>
      <c r="H123" s="33"/>
      <c r="I123" s="33"/>
      <c r="J123" s="33"/>
      <c r="K123" s="33"/>
      <c r="L123" s="33"/>
      <c r="M123" s="33"/>
    </row>
    <row r="124" spans="1:13" x14ac:dyDescent="0.3">
      <c r="A124" s="58" t="s">
        <v>201</v>
      </c>
      <c r="C124" s="11"/>
    </row>
    <row r="125" spans="1:13" x14ac:dyDescent="0.3">
      <c r="A125" s="92" t="s">
        <v>185</v>
      </c>
      <c r="B125" s="18"/>
      <c r="D125" s="21"/>
      <c r="E125" s="21"/>
      <c r="F125" s="21"/>
      <c r="G125" s="21"/>
      <c r="H125" s="21"/>
      <c r="I125" s="21"/>
      <c r="J125" s="21"/>
      <c r="K125" s="21"/>
      <c r="L125" s="21"/>
      <c r="M125" s="21"/>
    </row>
    <row r="126" spans="1:13" s="161" customFormat="1" ht="13.5" thickBot="1" x14ac:dyDescent="0.35">
      <c r="A126" s="159" t="str">
        <f>'Results &amp; Common Inputs'!A$33</f>
        <v xml:space="preserve">Inflation rate </v>
      </c>
      <c r="B126" s="159" t="str">
        <f>'Results &amp; Common Inputs'!B$33</f>
        <v>% Real</v>
      </c>
      <c r="C126" s="159"/>
      <c r="D126" s="160">
        <f>'Results &amp; Common Inputs'!D$33</f>
        <v>0.02</v>
      </c>
      <c r="E126" s="160">
        <f>'Results &amp; Common Inputs'!E$33</f>
        <v>0.02</v>
      </c>
      <c r="F126" s="160">
        <f>'Results &amp; Common Inputs'!F$33</f>
        <v>0.02</v>
      </c>
      <c r="G126" s="160">
        <f>'Results &amp; Common Inputs'!G$33</f>
        <v>0.02</v>
      </c>
      <c r="H126" s="160">
        <f>'Results &amp; Common Inputs'!H$33</f>
        <v>0.02</v>
      </c>
      <c r="I126" s="160">
        <f>'Results &amp; Common Inputs'!I$33</f>
        <v>0.02</v>
      </c>
      <c r="J126" s="160">
        <f>'Results &amp; Common Inputs'!J$33</f>
        <v>0.02</v>
      </c>
      <c r="K126" s="160">
        <f>'Results &amp; Common Inputs'!K$33</f>
        <v>0.02</v>
      </c>
      <c r="L126" s="160">
        <f>'Results &amp; Common Inputs'!L$33</f>
        <v>0.02</v>
      </c>
      <c r="M126" s="160">
        <f>'Results &amp; Common Inputs'!M$33</f>
        <v>0.02</v>
      </c>
    </row>
    <row r="127" spans="1:13" s="65" customFormat="1" ht="13.5" thickBot="1" x14ac:dyDescent="0.35">
      <c r="A127" s="65" t="s">
        <v>119</v>
      </c>
      <c r="C127" s="66"/>
      <c r="D127" s="69">
        <f>(1+D126)^0.5</f>
        <v>1.0099504938362078</v>
      </c>
      <c r="E127" s="67">
        <f>D127*(1+E126)</f>
        <v>1.030149503712932</v>
      </c>
      <c r="F127" s="67">
        <f t="shared" ref="F127:M127" si="26">E127*(1+F126)</f>
        <v>1.0507524937871906</v>
      </c>
      <c r="G127" s="67">
        <f t="shared" si="26"/>
        <v>1.0717675436629344</v>
      </c>
      <c r="H127" s="67">
        <f t="shared" si="26"/>
        <v>1.0932028945361931</v>
      </c>
      <c r="I127" s="67">
        <f t="shared" si="26"/>
        <v>1.115066952426917</v>
      </c>
      <c r="J127" s="67">
        <f t="shared" si="26"/>
        <v>1.1373682914754553</v>
      </c>
      <c r="K127" s="67">
        <f t="shared" si="26"/>
        <v>1.1601156573049645</v>
      </c>
      <c r="L127" s="67">
        <f t="shared" si="26"/>
        <v>1.1833179704510637</v>
      </c>
      <c r="M127" s="67">
        <f t="shared" si="26"/>
        <v>1.2069843298600851</v>
      </c>
    </row>
    <row r="128" spans="1:13" s="144" customFormat="1" x14ac:dyDescent="0.3">
      <c r="A128" s="144" t="s">
        <v>120</v>
      </c>
      <c r="B128" s="144" t="s">
        <v>192</v>
      </c>
      <c r="C128" s="71">
        <f>SUM(D128:M128)</f>
        <v>107914.15707248142</v>
      </c>
      <c r="D128" s="71">
        <f>D113*D127</f>
        <v>4544.7772222629355</v>
      </c>
      <c r="E128" s="71">
        <f t="shared" ref="E128:M128" si="27">E113*E127</f>
        <v>31934.634615100891</v>
      </c>
      <c r="F128" s="71">
        <f t="shared" si="27"/>
        <v>27844.941085360551</v>
      </c>
      <c r="G128" s="71">
        <f t="shared" si="27"/>
        <v>6644.9587707101928</v>
      </c>
      <c r="H128" s="71">
        <f t="shared" si="27"/>
        <v>6777.8579461243971</v>
      </c>
      <c r="I128" s="71">
        <f t="shared" si="27"/>
        <v>8586.0155336872613</v>
      </c>
      <c r="J128" s="71">
        <f t="shared" si="27"/>
        <v>7051.6834071478224</v>
      </c>
      <c r="K128" s="71">
        <f t="shared" si="27"/>
        <v>7192.7170752907796</v>
      </c>
      <c r="L128" s="71">
        <f t="shared" si="27"/>
        <v>7336.5714167965953</v>
      </c>
      <c r="M128" s="71">
        <f t="shared" si="27"/>
        <v>0</v>
      </c>
    </row>
    <row r="129" spans="1:13" ht="13.5" thickBot="1" x14ac:dyDescent="0.35">
      <c r="A129" s="92" t="s">
        <v>208</v>
      </c>
      <c r="C129" s="33"/>
      <c r="D129" s="33"/>
      <c r="E129" s="33"/>
      <c r="F129" s="33"/>
      <c r="G129" s="33"/>
      <c r="H129" s="33"/>
      <c r="I129" s="33"/>
      <c r="J129" s="33"/>
      <c r="K129" s="33"/>
      <c r="L129" s="33"/>
      <c r="M129" s="33"/>
    </row>
    <row r="130" spans="1:13" s="65" customFormat="1" ht="13.5" thickBot="1" x14ac:dyDescent="0.35">
      <c r="A130" s="65" t="s">
        <v>55</v>
      </c>
      <c r="B130" s="65" t="s">
        <v>192</v>
      </c>
      <c r="C130" s="68"/>
      <c r="D130" s="162">
        <v>12</v>
      </c>
      <c r="E130" s="68">
        <f>D134</f>
        <v>4556.7772222629355</v>
      </c>
      <c r="F130" s="68">
        <f t="shared" ref="F130:M130" si="28">E134</f>
        <v>36491.411837363827</v>
      </c>
      <c r="G130" s="68">
        <f t="shared" si="28"/>
        <v>64336.352922724378</v>
      </c>
      <c r="H130" s="68">
        <f t="shared" si="28"/>
        <v>53235.983770075931</v>
      </c>
      <c r="I130" s="68">
        <f t="shared" si="28"/>
        <v>45010.381287150245</v>
      </c>
      <c r="J130" s="68">
        <f t="shared" si="28"/>
        <v>40197.297615628129</v>
      </c>
      <c r="K130" s="68">
        <f t="shared" si="28"/>
        <v>35436.735767081962</v>
      </c>
      <c r="L130" s="68">
        <f t="shared" si="28"/>
        <v>31972.089631779556</v>
      </c>
      <c r="M130" s="68">
        <f t="shared" si="28"/>
        <v>0</v>
      </c>
    </row>
    <row r="131" spans="1:13" s="65" customFormat="1" x14ac:dyDescent="0.3">
      <c r="A131" s="65" t="s">
        <v>70</v>
      </c>
      <c r="B131" s="65" t="s">
        <v>192</v>
      </c>
      <c r="C131" s="68">
        <f>SUM(D131:M131)</f>
        <v>107914.15707248142</v>
      </c>
      <c r="D131" s="68">
        <f>D128</f>
        <v>4544.7772222629355</v>
      </c>
      <c r="E131" s="68">
        <f t="shared" ref="E131:M131" si="29">E128</f>
        <v>31934.634615100891</v>
      </c>
      <c r="F131" s="68">
        <f t="shared" si="29"/>
        <v>27844.941085360551</v>
      </c>
      <c r="G131" s="68">
        <f t="shared" si="29"/>
        <v>6644.9587707101928</v>
      </c>
      <c r="H131" s="68">
        <f t="shared" si="29"/>
        <v>6777.8579461243971</v>
      </c>
      <c r="I131" s="68">
        <f t="shared" si="29"/>
        <v>8586.0155336872613</v>
      </c>
      <c r="J131" s="68">
        <f t="shared" si="29"/>
        <v>7051.6834071478224</v>
      </c>
      <c r="K131" s="68">
        <f t="shared" si="29"/>
        <v>7192.7170752907796</v>
      </c>
      <c r="L131" s="68">
        <f t="shared" si="29"/>
        <v>7336.5714167965953</v>
      </c>
      <c r="M131" s="68">
        <f t="shared" si="29"/>
        <v>0</v>
      </c>
    </row>
    <row r="132" spans="1:13" s="65" customFormat="1" x14ac:dyDescent="0.3">
      <c r="A132" s="65" t="s">
        <v>56</v>
      </c>
      <c r="B132" s="65" t="s">
        <v>192</v>
      </c>
      <c r="C132" s="68"/>
      <c r="D132" s="68">
        <f t="shared" ref="D132:M132" si="30">D130+D131</f>
        <v>4556.7772222629355</v>
      </c>
      <c r="E132" s="68">
        <f t="shared" si="30"/>
        <v>36491.411837363827</v>
      </c>
      <c r="F132" s="68">
        <f t="shared" si="30"/>
        <v>64336.352922724378</v>
      </c>
      <c r="G132" s="68">
        <f t="shared" si="30"/>
        <v>70981.311693434574</v>
      </c>
      <c r="H132" s="68">
        <f t="shared" si="30"/>
        <v>60013.841716200332</v>
      </c>
      <c r="I132" s="68">
        <f t="shared" si="30"/>
        <v>53596.396820837508</v>
      </c>
      <c r="J132" s="68">
        <f t="shared" si="30"/>
        <v>47248.981022775952</v>
      </c>
      <c r="K132" s="68">
        <f t="shared" si="30"/>
        <v>42629.452842372739</v>
      </c>
      <c r="L132" s="68">
        <f t="shared" si="30"/>
        <v>39308.661048576148</v>
      </c>
      <c r="M132" s="68">
        <f t="shared" si="30"/>
        <v>0</v>
      </c>
    </row>
    <row r="133" spans="1:13" s="72" customFormat="1" x14ac:dyDescent="0.3">
      <c r="A133" s="70" t="s">
        <v>209</v>
      </c>
      <c r="B133" s="65" t="s">
        <v>192</v>
      </c>
      <c r="C133" s="71">
        <f>SUM(D133:M133)</f>
        <v>107926.15707248142</v>
      </c>
      <c r="D133" s="71">
        <f t="shared" ref="D133:M133" si="31">IF(D81=0,0,IF(AND(D81&gt;0,E81=0),D132,D132*D122))</f>
        <v>0</v>
      </c>
      <c r="E133" s="71">
        <f t="shared" si="31"/>
        <v>0</v>
      </c>
      <c r="F133" s="71">
        <f t="shared" si="31"/>
        <v>0</v>
      </c>
      <c r="G133" s="71">
        <f t="shared" si="31"/>
        <v>17745.327923358644</v>
      </c>
      <c r="H133" s="71">
        <f t="shared" si="31"/>
        <v>15003.460429050083</v>
      </c>
      <c r="I133" s="71">
        <f t="shared" si="31"/>
        <v>13399.099205209377</v>
      </c>
      <c r="J133" s="71">
        <f t="shared" si="31"/>
        <v>11812.245255693988</v>
      </c>
      <c r="K133" s="71">
        <f t="shared" si="31"/>
        <v>10657.363210593185</v>
      </c>
      <c r="L133" s="71">
        <f t="shared" si="31"/>
        <v>39308.661048576148</v>
      </c>
      <c r="M133" s="71">
        <f t="shared" si="31"/>
        <v>0</v>
      </c>
    </row>
    <row r="134" spans="1:13" s="65" customFormat="1" x14ac:dyDescent="0.3">
      <c r="A134" s="65" t="s">
        <v>57</v>
      </c>
      <c r="B134" s="65" t="s">
        <v>192</v>
      </c>
      <c r="C134" s="68"/>
      <c r="D134" s="68">
        <f t="shared" ref="D134:M134" si="32">D132-D133</f>
        <v>4556.7772222629355</v>
      </c>
      <c r="E134" s="68">
        <f t="shared" si="32"/>
        <v>36491.411837363827</v>
      </c>
      <c r="F134" s="68">
        <f t="shared" si="32"/>
        <v>64336.352922724378</v>
      </c>
      <c r="G134" s="68">
        <f t="shared" si="32"/>
        <v>53235.983770075931</v>
      </c>
      <c r="H134" s="68">
        <f t="shared" si="32"/>
        <v>45010.381287150245</v>
      </c>
      <c r="I134" s="68">
        <f t="shared" si="32"/>
        <v>40197.297615628129</v>
      </c>
      <c r="J134" s="68">
        <f t="shared" si="32"/>
        <v>35436.735767081962</v>
      </c>
      <c r="K134" s="68">
        <f t="shared" si="32"/>
        <v>31972.089631779556</v>
      </c>
      <c r="L134" s="68">
        <f t="shared" si="32"/>
        <v>0</v>
      </c>
      <c r="M134" s="68">
        <f t="shared" si="32"/>
        <v>0</v>
      </c>
    </row>
    <row r="135" spans="1:13" x14ac:dyDescent="0.3">
      <c r="C135" s="17"/>
      <c r="D135" s="32"/>
      <c r="E135" s="32"/>
      <c r="F135" s="32"/>
      <c r="G135" s="32"/>
      <c r="H135" s="32"/>
      <c r="I135" s="32"/>
      <c r="J135" s="32"/>
      <c r="K135" s="32"/>
      <c r="L135" s="32"/>
      <c r="M135" s="32"/>
    </row>
    <row r="136" spans="1:13" ht="15.5" x14ac:dyDescent="0.35">
      <c r="A136" s="107" t="s">
        <v>210</v>
      </c>
      <c r="B136" s="17" t="s">
        <v>124</v>
      </c>
      <c r="C136" s="155">
        <f>SUM(D136:M136)</f>
        <v>95088.868379338761</v>
      </c>
      <c r="D136" s="108">
        <f>D133/D127</f>
        <v>0</v>
      </c>
      <c r="E136" s="108">
        <f t="shared" ref="E136:M136" si="33">E133/E127</f>
        <v>0</v>
      </c>
      <c r="F136" s="108">
        <f t="shared" si="33"/>
        <v>0</v>
      </c>
      <c r="G136" s="108">
        <f t="shared" si="33"/>
        <v>16557.067834608231</v>
      </c>
      <c r="H136" s="108">
        <f t="shared" si="33"/>
        <v>13724.314584270758</v>
      </c>
      <c r="I136" s="108">
        <f t="shared" si="33"/>
        <v>12016.407782552027</v>
      </c>
      <c r="J136" s="108">
        <f t="shared" si="33"/>
        <v>10385.593957758843</v>
      </c>
      <c r="K136" s="108">
        <f t="shared" si="33"/>
        <v>9186.4661454109137</v>
      </c>
      <c r="L136" s="108">
        <f t="shared" si="33"/>
        <v>33219.018074737978</v>
      </c>
      <c r="M136" s="108">
        <f t="shared" si="33"/>
        <v>0</v>
      </c>
    </row>
    <row r="137" spans="1:13" x14ac:dyDescent="0.3">
      <c r="A137" s="73" t="s">
        <v>121</v>
      </c>
      <c r="B137" s="17" t="s">
        <v>124</v>
      </c>
      <c r="C137" s="36">
        <f>C113+D130-C136</f>
        <v>5623.1316206612391</v>
      </c>
      <c r="D137" s="21"/>
      <c r="E137" s="21"/>
      <c r="F137" s="21"/>
      <c r="G137" s="21"/>
      <c r="H137" s="21"/>
      <c r="I137" s="21"/>
      <c r="J137" s="21"/>
      <c r="K137" s="21"/>
      <c r="L137" s="21"/>
      <c r="M137" s="21"/>
    </row>
    <row r="138" spans="1:13" ht="20" customHeight="1" x14ac:dyDescent="0.3">
      <c r="A138" s="73"/>
      <c r="C138" s="36"/>
      <c r="D138" s="21"/>
      <c r="E138" s="21"/>
      <c r="F138" s="21"/>
      <c r="G138" s="21"/>
      <c r="H138" s="21"/>
      <c r="I138" s="21"/>
      <c r="J138" s="21"/>
      <c r="K138" s="21"/>
      <c r="L138" s="21"/>
      <c r="M138" s="21"/>
    </row>
    <row r="139" spans="1:13" s="183" customFormat="1" ht="27.5" customHeight="1" x14ac:dyDescent="0.35">
      <c r="A139" s="180" t="str">
        <f>'Results &amp; Common Inputs'!A$28</f>
        <v>Life of Business</v>
      </c>
      <c r="B139" s="180" t="str">
        <f>'Results &amp; Common Inputs'!B$28</f>
        <v>units</v>
      </c>
      <c r="C139" s="181" t="str">
        <f>'Results &amp; Common Inputs'!C$28</f>
        <v>Total</v>
      </c>
      <c r="D139" s="182">
        <f>'Results &amp; Common Inputs'!D$28</f>
        <v>2026</v>
      </c>
      <c r="E139" s="182">
        <f>'Results &amp; Common Inputs'!E$28</f>
        <v>2027</v>
      </c>
      <c r="F139" s="182">
        <f>'Results &amp; Common Inputs'!F$28</f>
        <v>2028</v>
      </c>
      <c r="G139" s="182">
        <f>'Results &amp; Common Inputs'!G$28</f>
        <v>2029</v>
      </c>
      <c r="H139" s="182">
        <f>'Results &amp; Common Inputs'!H$28</f>
        <v>2030</v>
      </c>
      <c r="I139" s="182">
        <f>'Results &amp; Common Inputs'!I$28</f>
        <v>2031</v>
      </c>
      <c r="J139" s="182">
        <f>'Results &amp; Common Inputs'!J$28</f>
        <v>2032</v>
      </c>
      <c r="K139" s="182">
        <f>'Results &amp; Common Inputs'!K$28</f>
        <v>2033</v>
      </c>
      <c r="L139" s="182">
        <f>'Results &amp; Common Inputs'!L$28</f>
        <v>2034</v>
      </c>
      <c r="M139" s="182">
        <f>'Results &amp; Common Inputs'!M$28</f>
        <v>2035</v>
      </c>
    </row>
    <row r="140" spans="1:13" s="63" customFormat="1" ht="43.75" customHeight="1" x14ac:dyDescent="0.35">
      <c r="A140" s="98" t="s">
        <v>25</v>
      </c>
      <c r="C140" s="64"/>
      <c r="D140" s="64"/>
      <c r="E140" s="64"/>
      <c r="F140" s="64"/>
      <c r="G140" s="64"/>
      <c r="H140" s="64"/>
      <c r="I140" s="64"/>
      <c r="J140" s="64"/>
      <c r="K140" s="64"/>
      <c r="L140" s="64"/>
      <c r="M140" s="64"/>
    </row>
    <row r="141" spans="1:13" x14ac:dyDescent="0.3">
      <c r="A141" s="58" t="s">
        <v>216</v>
      </c>
      <c r="B141" s="18"/>
      <c r="D141" s="21"/>
      <c r="E141" s="21"/>
      <c r="F141" s="21"/>
      <c r="G141" s="21"/>
      <c r="H141" s="21"/>
      <c r="I141" s="21"/>
      <c r="J141" s="21"/>
      <c r="K141" s="21"/>
      <c r="L141" s="21"/>
      <c r="M141" s="21"/>
    </row>
    <row r="142" spans="1:13" x14ac:dyDescent="0.3">
      <c r="A142" s="58" t="s">
        <v>217</v>
      </c>
      <c r="B142" s="18"/>
      <c r="D142" s="21"/>
      <c r="E142" s="21"/>
      <c r="F142" s="21"/>
      <c r="G142" s="21"/>
      <c r="H142" s="21"/>
      <c r="I142" s="21"/>
      <c r="J142" s="21"/>
      <c r="K142" s="21"/>
      <c r="L142" s="21"/>
      <c r="M142" s="21"/>
    </row>
    <row r="143" spans="1:13" x14ac:dyDescent="0.3">
      <c r="A143" s="58" t="s">
        <v>218</v>
      </c>
      <c r="B143" s="18"/>
      <c r="D143" s="21"/>
      <c r="E143" s="21"/>
      <c r="F143" s="21"/>
      <c r="G143" s="21"/>
      <c r="H143" s="21"/>
      <c r="I143" s="21"/>
      <c r="J143" s="21"/>
      <c r="K143" s="21"/>
      <c r="L143" s="21"/>
      <c r="M143" s="21"/>
    </row>
    <row r="144" spans="1:13" x14ac:dyDescent="0.3">
      <c r="A144" s="58"/>
      <c r="B144" s="18"/>
      <c r="D144" s="21"/>
      <c r="E144" s="21"/>
      <c r="F144" s="21"/>
      <c r="G144" s="21"/>
      <c r="H144" s="21"/>
      <c r="I144" s="21"/>
      <c r="J144" s="21"/>
      <c r="K144" s="21"/>
      <c r="L144" s="21"/>
      <c r="M144" s="21"/>
    </row>
    <row r="145" spans="1:13" x14ac:dyDescent="0.3">
      <c r="A145" s="31" t="s">
        <v>65</v>
      </c>
      <c r="B145" s="18"/>
      <c r="D145" s="21"/>
      <c r="E145" s="21"/>
      <c r="F145" s="21"/>
      <c r="G145" s="21"/>
      <c r="H145" s="21"/>
      <c r="I145" s="21"/>
      <c r="J145" s="21"/>
      <c r="K145" s="21"/>
      <c r="L145" s="21"/>
      <c r="M145" s="21"/>
    </row>
    <row r="146" spans="1:13" x14ac:dyDescent="0.3">
      <c r="A146" s="92" t="s">
        <v>211</v>
      </c>
      <c r="B146" s="18"/>
      <c r="D146" s="21"/>
      <c r="E146" s="21"/>
      <c r="F146" s="21"/>
      <c r="G146" s="21"/>
      <c r="H146" s="21"/>
      <c r="I146" s="21"/>
      <c r="J146" s="21"/>
      <c r="K146" s="21"/>
      <c r="L146" s="21"/>
      <c r="M146" s="21"/>
    </row>
    <row r="147" spans="1:13" s="35" customFormat="1" x14ac:dyDescent="0.3">
      <c r="A147" s="35" t="str">
        <f>A67</f>
        <v>Waste removed</v>
      </c>
      <c r="B147" s="35" t="str">
        <f>B67</f>
        <v>000 dry tonnes</v>
      </c>
      <c r="C147" s="33">
        <f>SUM(D147:M147)</f>
        <v>3580</v>
      </c>
      <c r="D147" s="33">
        <f t="shared" ref="D147:M147" si="34">D67</f>
        <v>0</v>
      </c>
      <c r="E147" s="33">
        <f t="shared" si="34"/>
        <v>0</v>
      </c>
      <c r="F147" s="33">
        <f t="shared" si="34"/>
        <v>950</v>
      </c>
      <c r="G147" s="33">
        <f t="shared" si="34"/>
        <v>700</v>
      </c>
      <c r="H147" s="33">
        <f t="shared" si="34"/>
        <v>700</v>
      </c>
      <c r="I147" s="33">
        <f t="shared" si="34"/>
        <v>700</v>
      </c>
      <c r="J147" s="33">
        <f t="shared" si="34"/>
        <v>300</v>
      </c>
      <c r="K147" s="33">
        <f t="shared" si="34"/>
        <v>230</v>
      </c>
      <c r="L147" s="33">
        <f t="shared" si="34"/>
        <v>0</v>
      </c>
      <c r="M147" s="33">
        <f t="shared" si="34"/>
        <v>0</v>
      </c>
    </row>
    <row r="148" spans="1:13" s="124" customFormat="1" x14ac:dyDescent="0.3">
      <c r="A148" s="121" t="s">
        <v>61</v>
      </c>
      <c r="B148" s="121" t="s">
        <v>193</v>
      </c>
      <c r="C148" s="123"/>
      <c r="D148" s="123"/>
      <c r="E148" s="123"/>
      <c r="F148" s="125">
        <v>4</v>
      </c>
      <c r="G148" s="125">
        <f>F148</f>
        <v>4</v>
      </c>
      <c r="H148" s="125">
        <f t="shared" ref="H148:M148" si="35">G148</f>
        <v>4</v>
      </c>
      <c r="I148" s="125">
        <f t="shared" si="35"/>
        <v>4</v>
      </c>
      <c r="J148" s="125">
        <f t="shared" si="35"/>
        <v>4</v>
      </c>
      <c r="K148" s="125">
        <f t="shared" si="35"/>
        <v>4</v>
      </c>
      <c r="L148" s="125">
        <f t="shared" si="35"/>
        <v>4</v>
      </c>
      <c r="M148" s="125">
        <f t="shared" si="35"/>
        <v>4</v>
      </c>
    </row>
    <row r="149" spans="1:13" s="35" customFormat="1" x14ac:dyDescent="0.3">
      <c r="A149" s="35" t="s">
        <v>62</v>
      </c>
      <c r="B149" s="17" t="s">
        <v>124</v>
      </c>
      <c r="C149" s="33">
        <f>SUM(D149:M149)</f>
        <v>14320</v>
      </c>
      <c r="D149" s="33">
        <f>D147*D148</f>
        <v>0</v>
      </c>
      <c r="E149" s="33">
        <f t="shared" ref="E149:M149" si="36">E147*E148</f>
        <v>0</v>
      </c>
      <c r="F149" s="33">
        <f t="shared" si="36"/>
        <v>3800</v>
      </c>
      <c r="G149" s="33">
        <f t="shared" si="36"/>
        <v>2800</v>
      </c>
      <c r="H149" s="33">
        <f t="shared" si="36"/>
        <v>2800</v>
      </c>
      <c r="I149" s="33">
        <f t="shared" si="36"/>
        <v>2800</v>
      </c>
      <c r="J149" s="33">
        <f t="shared" si="36"/>
        <v>1200</v>
      </c>
      <c r="K149" s="33">
        <f t="shared" si="36"/>
        <v>920</v>
      </c>
      <c r="L149" s="33">
        <f t="shared" si="36"/>
        <v>0</v>
      </c>
      <c r="M149" s="33">
        <f t="shared" si="36"/>
        <v>0</v>
      </c>
    </row>
    <row r="150" spans="1:13" ht="9.65" customHeight="1" x14ac:dyDescent="0.3">
      <c r="A150" s="23"/>
      <c r="C150" s="11"/>
    </row>
    <row r="151" spans="1:13" s="35" customFormat="1" x14ac:dyDescent="0.3">
      <c r="A151" s="35" t="str">
        <f>A68</f>
        <v>Ore production</v>
      </c>
      <c r="B151" s="35" t="str">
        <f>B68</f>
        <v>000 dry tonnes</v>
      </c>
      <c r="C151" s="33">
        <f>SUM(D151:M151)</f>
        <v>3100</v>
      </c>
      <c r="D151" s="33">
        <f t="shared" ref="D151:M151" si="37">D68</f>
        <v>0</v>
      </c>
      <c r="E151" s="33">
        <f t="shared" si="37"/>
        <v>0</v>
      </c>
      <c r="F151" s="33">
        <f t="shared" si="37"/>
        <v>0</v>
      </c>
      <c r="G151" s="33">
        <f t="shared" si="37"/>
        <v>400</v>
      </c>
      <c r="H151" s="33">
        <f t="shared" si="37"/>
        <v>600</v>
      </c>
      <c r="I151" s="33">
        <f t="shared" si="37"/>
        <v>600</v>
      </c>
      <c r="J151" s="33">
        <f t="shared" si="37"/>
        <v>600</v>
      </c>
      <c r="K151" s="33">
        <f t="shared" si="37"/>
        <v>600</v>
      </c>
      <c r="L151" s="33">
        <f t="shared" si="37"/>
        <v>300</v>
      </c>
      <c r="M151" s="33">
        <f t="shared" si="37"/>
        <v>0</v>
      </c>
    </row>
    <row r="152" spans="1:13" s="124" customFormat="1" x14ac:dyDescent="0.3">
      <c r="A152" s="121" t="s">
        <v>26</v>
      </c>
      <c r="B152" s="121" t="s">
        <v>193</v>
      </c>
      <c r="C152" s="123"/>
      <c r="D152" s="123"/>
      <c r="E152" s="123"/>
      <c r="F152" s="125"/>
      <c r="G152" s="125">
        <v>5</v>
      </c>
      <c r="H152" s="125">
        <v>5.5</v>
      </c>
      <c r="I152" s="125">
        <v>6</v>
      </c>
      <c r="J152" s="125">
        <v>6.5</v>
      </c>
      <c r="K152" s="125">
        <v>7</v>
      </c>
      <c r="L152" s="125">
        <v>7.5</v>
      </c>
      <c r="M152" s="125"/>
    </row>
    <row r="153" spans="1:13" s="35" customFormat="1" x14ac:dyDescent="0.3">
      <c r="A153" s="35" t="s">
        <v>63</v>
      </c>
      <c r="B153" s="17" t="s">
        <v>124</v>
      </c>
      <c r="C153" s="33">
        <f>SUM(D153:M153)</f>
        <v>19250</v>
      </c>
      <c r="D153" s="33">
        <f>D151*D152</f>
        <v>0</v>
      </c>
      <c r="E153" s="33">
        <f t="shared" ref="E153:M153" si="38">E151*E152</f>
        <v>0</v>
      </c>
      <c r="F153" s="33">
        <f t="shared" si="38"/>
        <v>0</v>
      </c>
      <c r="G153" s="33">
        <f t="shared" si="38"/>
        <v>2000</v>
      </c>
      <c r="H153" s="33">
        <f t="shared" si="38"/>
        <v>3300</v>
      </c>
      <c r="I153" s="33">
        <f t="shared" si="38"/>
        <v>3600</v>
      </c>
      <c r="J153" s="33">
        <f t="shared" si="38"/>
        <v>3900</v>
      </c>
      <c r="K153" s="33">
        <f t="shared" si="38"/>
        <v>4200</v>
      </c>
      <c r="L153" s="33">
        <f t="shared" si="38"/>
        <v>2250</v>
      </c>
      <c r="M153" s="33">
        <f t="shared" si="38"/>
        <v>0</v>
      </c>
    </row>
    <row r="154" spans="1:13" ht="9.65" customHeight="1" x14ac:dyDescent="0.3">
      <c r="A154" s="23"/>
      <c r="C154" s="11"/>
    </row>
    <row r="155" spans="1:13" s="124" customFormat="1" x14ac:dyDescent="0.3">
      <c r="A155" s="121" t="s">
        <v>80</v>
      </c>
      <c r="B155" s="121" t="s">
        <v>194</v>
      </c>
      <c r="C155" s="123"/>
      <c r="D155" s="123">
        <v>4500</v>
      </c>
      <c r="E155" s="123">
        <f>D155</f>
        <v>4500</v>
      </c>
      <c r="F155" s="123">
        <f t="shared" ref="F155:M155" si="39">E155</f>
        <v>4500</v>
      </c>
      <c r="G155" s="123">
        <f t="shared" si="39"/>
        <v>4500</v>
      </c>
      <c r="H155" s="123">
        <f t="shared" si="39"/>
        <v>4500</v>
      </c>
      <c r="I155" s="123">
        <f t="shared" si="39"/>
        <v>4500</v>
      </c>
      <c r="J155" s="123">
        <f t="shared" si="39"/>
        <v>4500</v>
      </c>
      <c r="K155" s="123">
        <f t="shared" si="39"/>
        <v>4500</v>
      </c>
      <c r="L155" s="123">
        <f t="shared" si="39"/>
        <v>4500</v>
      </c>
      <c r="M155" s="123">
        <f t="shared" si="39"/>
        <v>4500</v>
      </c>
    </row>
    <row r="156" spans="1:13" s="35" customFormat="1" x14ac:dyDescent="0.3">
      <c r="A156" s="35" t="s">
        <v>81</v>
      </c>
      <c r="B156" s="17" t="s">
        <v>124</v>
      </c>
      <c r="C156" s="33">
        <f>SUM(D156:M156)</f>
        <v>27000</v>
      </c>
      <c r="D156" s="33">
        <f t="shared" ref="D156:M156" si="40">IF(D68=0,0,D155)</f>
        <v>0</v>
      </c>
      <c r="E156" s="33">
        <f t="shared" si="40"/>
        <v>0</v>
      </c>
      <c r="F156" s="33">
        <f t="shared" si="40"/>
        <v>0</v>
      </c>
      <c r="G156" s="33">
        <f t="shared" si="40"/>
        <v>4500</v>
      </c>
      <c r="H156" s="33">
        <f t="shared" si="40"/>
        <v>4500</v>
      </c>
      <c r="I156" s="33">
        <f t="shared" si="40"/>
        <v>4500</v>
      </c>
      <c r="J156" s="33">
        <f t="shared" si="40"/>
        <v>4500</v>
      </c>
      <c r="K156" s="33">
        <f t="shared" si="40"/>
        <v>4500</v>
      </c>
      <c r="L156" s="33">
        <f t="shared" si="40"/>
        <v>4500</v>
      </c>
      <c r="M156" s="33">
        <f t="shared" si="40"/>
        <v>0</v>
      </c>
    </row>
    <row r="157" spans="1:13" s="35" customFormat="1" ht="6" customHeight="1" x14ac:dyDescent="0.3">
      <c r="C157" s="33"/>
      <c r="D157" s="33"/>
      <c r="E157" s="33"/>
      <c r="F157" s="33"/>
      <c r="G157" s="33"/>
      <c r="H157" s="33"/>
      <c r="I157" s="33"/>
      <c r="J157" s="33"/>
      <c r="K157" s="33"/>
      <c r="L157" s="33"/>
      <c r="M157" s="33"/>
    </row>
    <row r="158" spans="1:13" s="34" customFormat="1" x14ac:dyDescent="0.3">
      <c r="A158" s="34" t="s">
        <v>64</v>
      </c>
      <c r="B158" s="17" t="s">
        <v>124</v>
      </c>
      <c r="C158" s="32">
        <f>SUM(D158:M158)</f>
        <v>60570</v>
      </c>
      <c r="D158" s="79">
        <f t="shared" ref="D158:M158" si="41">D149+D153+D156</f>
        <v>0</v>
      </c>
      <c r="E158" s="79">
        <f t="shared" si="41"/>
        <v>0</v>
      </c>
      <c r="F158" s="79">
        <f t="shared" si="41"/>
        <v>3800</v>
      </c>
      <c r="G158" s="79">
        <f t="shared" si="41"/>
        <v>9300</v>
      </c>
      <c r="H158" s="79">
        <f t="shared" si="41"/>
        <v>10600</v>
      </c>
      <c r="I158" s="79">
        <f t="shared" si="41"/>
        <v>10900</v>
      </c>
      <c r="J158" s="79">
        <f t="shared" si="41"/>
        <v>9600</v>
      </c>
      <c r="K158" s="79">
        <f t="shared" si="41"/>
        <v>9620</v>
      </c>
      <c r="L158" s="79">
        <f t="shared" si="41"/>
        <v>6750</v>
      </c>
      <c r="M158" s="79">
        <f t="shared" si="41"/>
        <v>0</v>
      </c>
    </row>
    <row r="159" spans="1:13" s="35" customFormat="1" x14ac:dyDescent="0.3">
      <c r="A159" s="34"/>
      <c r="B159" s="34"/>
      <c r="C159" s="32"/>
      <c r="D159" s="32"/>
      <c r="E159" s="32"/>
      <c r="F159" s="32"/>
      <c r="G159" s="32"/>
      <c r="H159" s="32"/>
      <c r="I159" s="32"/>
      <c r="J159" s="32"/>
      <c r="K159" s="32"/>
      <c r="L159" s="32"/>
      <c r="M159" s="32"/>
    </row>
    <row r="160" spans="1:13" x14ac:dyDescent="0.3">
      <c r="A160" s="31" t="s">
        <v>66</v>
      </c>
      <c r="B160" s="18"/>
      <c r="D160" s="21"/>
      <c r="E160" s="21"/>
      <c r="F160" s="21"/>
      <c r="G160" s="21"/>
      <c r="H160" s="21"/>
      <c r="I160" s="21"/>
      <c r="J160" s="21"/>
      <c r="K160" s="21"/>
      <c r="L160" s="21"/>
      <c r="M160" s="21"/>
    </row>
    <row r="161" spans="1:13" x14ac:dyDescent="0.3">
      <c r="A161" s="92" t="s">
        <v>212</v>
      </c>
      <c r="C161" s="11"/>
    </row>
    <row r="162" spans="1:13" s="35" customFormat="1" x14ac:dyDescent="0.3">
      <c r="A162" s="35" t="str">
        <f>A68</f>
        <v>Ore production</v>
      </c>
      <c r="B162" s="35" t="str">
        <f>B68</f>
        <v>000 dry tonnes</v>
      </c>
      <c r="C162" s="33">
        <f>SUM(D162:M162)</f>
        <v>3100</v>
      </c>
      <c r="D162" s="33">
        <f t="shared" ref="D162:M162" si="42">D68</f>
        <v>0</v>
      </c>
      <c r="E162" s="33">
        <f t="shared" si="42"/>
        <v>0</v>
      </c>
      <c r="F162" s="33">
        <f t="shared" si="42"/>
        <v>0</v>
      </c>
      <c r="G162" s="33">
        <f t="shared" si="42"/>
        <v>400</v>
      </c>
      <c r="H162" s="33">
        <f t="shared" si="42"/>
        <v>600</v>
      </c>
      <c r="I162" s="33">
        <f t="shared" si="42"/>
        <v>600</v>
      </c>
      <c r="J162" s="33">
        <f t="shared" si="42"/>
        <v>600</v>
      </c>
      <c r="K162" s="33">
        <f t="shared" si="42"/>
        <v>600</v>
      </c>
      <c r="L162" s="33">
        <f t="shared" si="42"/>
        <v>300</v>
      </c>
      <c r="M162" s="33">
        <f t="shared" si="42"/>
        <v>0</v>
      </c>
    </row>
    <row r="163" spans="1:13" x14ac:dyDescent="0.3">
      <c r="A163" s="121" t="s">
        <v>92</v>
      </c>
      <c r="B163" s="121" t="s">
        <v>193</v>
      </c>
      <c r="C163" s="33"/>
      <c r="D163" s="123">
        <v>30</v>
      </c>
      <c r="E163" s="123">
        <f t="shared" ref="E163:M163" si="43">D163</f>
        <v>30</v>
      </c>
      <c r="F163" s="123">
        <f t="shared" si="43"/>
        <v>30</v>
      </c>
      <c r="G163" s="123">
        <f t="shared" si="43"/>
        <v>30</v>
      </c>
      <c r="H163" s="123">
        <f t="shared" si="43"/>
        <v>30</v>
      </c>
      <c r="I163" s="123">
        <f t="shared" si="43"/>
        <v>30</v>
      </c>
      <c r="J163" s="123">
        <f t="shared" si="43"/>
        <v>30</v>
      </c>
      <c r="K163" s="123">
        <f t="shared" si="43"/>
        <v>30</v>
      </c>
      <c r="L163" s="123">
        <f t="shared" si="43"/>
        <v>30</v>
      </c>
      <c r="M163" s="123">
        <f t="shared" si="43"/>
        <v>30</v>
      </c>
    </row>
    <row r="164" spans="1:13" s="35" customFormat="1" x14ac:dyDescent="0.3">
      <c r="A164" s="35" t="s">
        <v>91</v>
      </c>
      <c r="B164" s="17" t="s">
        <v>124</v>
      </c>
      <c r="C164" s="33">
        <f>SUM(D164:M164)</f>
        <v>93000</v>
      </c>
      <c r="D164" s="33">
        <f>D162*D163</f>
        <v>0</v>
      </c>
      <c r="E164" s="33">
        <f t="shared" ref="E164:M164" si="44">E162*E163</f>
        <v>0</v>
      </c>
      <c r="F164" s="33">
        <f t="shared" si="44"/>
        <v>0</v>
      </c>
      <c r="G164" s="33">
        <f t="shared" si="44"/>
        <v>12000</v>
      </c>
      <c r="H164" s="33">
        <f t="shared" si="44"/>
        <v>18000</v>
      </c>
      <c r="I164" s="33">
        <f t="shared" si="44"/>
        <v>18000</v>
      </c>
      <c r="J164" s="33">
        <f t="shared" si="44"/>
        <v>18000</v>
      </c>
      <c r="K164" s="33">
        <f t="shared" si="44"/>
        <v>18000</v>
      </c>
      <c r="L164" s="33">
        <f t="shared" si="44"/>
        <v>9000</v>
      </c>
      <c r="M164" s="33">
        <f t="shared" si="44"/>
        <v>0</v>
      </c>
    </row>
    <row r="165" spans="1:13" ht="9.65" customHeight="1" x14ac:dyDescent="0.3">
      <c r="A165" s="23"/>
      <c r="C165" s="11"/>
    </row>
    <row r="166" spans="1:13" s="35" customFormat="1" x14ac:dyDescent="0.3">
      <c r="A166" s="35" t="str">
        <f>A72</f>
        <v>Gold produced</v>
      </c>
      <c r="B166" s="35" t="str">
        <f>B72</f>
        <v>000 ounces</v>
      </c>
      <c r="C166" s="33">
        <f>SUM(D166:M166)</f>
        <v>237.7234726688103</v>
      </c>
      <c r="D166" s="33">
        <f t="shared" ref="D166:M166" si="45">D72</f>
        <v>0</v>
      </c>
      <c r="E166" s="33">
        <f t="shared" si="45"/>
        <v>0</v>
      </c>
      <c r="F166" s="33">
        <f t="shared" si="45"/>
        <v>0</v>
      </c>
      <c r="G166" s="33">
        <f t="shared" si="45"/>
        <v>25.620578778135044</v>
      </c>
      <c r="H166" s="33">
        <f t="shared" si="45"/>
        <v>49.69774919614148</v>
      </c>
      <c r="I166" s="33">
        <f t="shared" si="45"/>
        <v>51.472668810289392</v>
      </c>
      <c r="J166" s="33">
        <f t="shared" si="45"/>
        <v>46.147909967845656</v>
      </c>
      <c r="K166" s="33">
        <f t="shared" si="45"/>
        <v>46.147909967845656</v>
      </c>
      <c r="L166" s="33">
        <f t="shared" si="45"/>
        <v>18.636655948553056</v>
      </c>
      <c r="M166" s="33">
        <f t="shared" si="45"/>
        <v>0</v>
      </c>
    </row>
    <row r="167" spans="1:13" x14ac:dyDescent="0.3">
      <c r="A167" s="121" t="s">
        <v>122</v>
      </c>
      <c r="B167" s="121" t="s">
        <v>195</v>
      </c>
      <c r="C167" s="33"/>
      <c r="D167" s="123">
        <v>60</v>
      </c>
      <c r="E167" s="123">
        <f>D167</f>
        <v>60</v>
      </c>
      <c r="F167" s="123">
        <f t="shared" ref="F167:M167" si="46">E167</f>
        <v>60</v>
      </c>
      <c r="G167" s="123">
        <f t="shared" si="46"/>
        <v>60</v>
      </c>
      <c r="H167" s="123">
        <f t="shared" si="46"/>
        <v>60</v>
      </c>
      <c r="I167" s="123">
        <f t="shared" si="46"/>
        <v>60</v>
      </c>
      <c r="J167" s="123">
        <f t="shared" si="46"/>
        <v>60</v>
      </c>
      <c r="K167" s="123">
        <f t="shared" si="46"/>
        <v>60</v>
      </c>
      <c r="L167" s="123">
        <f t="shared" si="46"/>
        <v>60</v>
      </c>
      <c r="M167" s="123">
        <f t="shared" si="46"/>
        <v>60</v>
      </c>
    </row>
    <row r="168" spans="1:13" s="35" customFormat="1" x14ac:dyDescent="0.3">
      <c r="A168" s="35" t="s">
        <v>90</v>
      </c>
      <c r="B168" s="17" t="s">
        <v>124</v>
      </c>
      <c r="C168" s="33">
        <f>SUM(D168:M168)</f>
        <v>14263.408360128617</v>
      </c>
      <c r="D168" s="33">
        <f>D166*D167</f>
        <v>0</v>
      </c>
      <c r="E168" s="33">
        <f t="shared" ref="E168:M168" si="47">E166*E167</f>
        <v>0</v>
      </c>
      <c r="F168" s="33">
        <f t="shared" si="47"/>
        <v>0</v>
      </c>
      <c r="G168" s="33">
        <f t="shared" si="47"/>
        <v>1537.2347266881027</v>
      </c>
      <c r="H168" s="33">
        <f t="shared" si="47"/>
        <v>2981.8649517684889</v>
      </c>
      <c r="I168" s="33">
        <f t="shared" si="47"/>
        <v>3088.3601286173634</v>
      </c>
      <c r="J168" s="33">
        <f t="shared" si="47"/>
        <v>2768.8745980707395</v>
      </c>
      <c r="K168" s="33">
        <f t="shared" si="47"/>
        <v>2768.8745980707395</v>
      </c>
      <c r="L168" s="33">
        <f t="shared" si="47"/>
        <v>1118.1993569131832</v>
      </c>
      <c r="M168" s="33">
        <f t="shared" si="47"/>
        <v>0</v>
      </c>
    </row>
    <row r="169" spans="1:13" ht="9.65" customHeight="1" x14ac:dyDescent="0.3">
      <c r="A169" s="23"/>
      <c r="C169" s="11"/>
    </row>
    <row r="170" spans="1:13" s="35" customFormat="1" x14ac:dyDescent="0.3">
      <c r="A170" s="35" t="s">
        <v>213</v>
      </c>
      <c r="C170" s="33"/>
      <c r="D170" s="33"/>
      <c r="E170" s="33"/>
      <c r="F170" s="33"/>
      <c r="G170" s="33"/>
      <c r="H170" s="33"/>
      <c r="I170" s="33"/>
      <c r="J170" s="33"/>
      <c r="K170" s="33"/>
      <c r="L170" s="33"/>
      <c r="M170" s="33"/>
    </row>
    <row r="171" spans="1:13" x14ac:dyDescent="0.3">
      <c r="A171" s="121" t="s">
        <v>93</v>
      </c>
      <c r="B171" s="121" t="s">
        <v>194</v>
      </c>
      <c r="C171" s="33"/>
      <c r="D171" s="123">
        <v>3000</v>
      </c>
      <c r="E171" s="123">
        <f>D171</f>
        <v>3000</v>
      </c>
      <c r="F171" s="123">
        <f t="shared" ref="F171:M171" si="48">E171</f>
        <v>3000</v>
      </c>
      <c r="G171" s="123">
        <f t="shared" si="48"/>
        <v>3000</v>
      </c>
      <c r="H171" s="123">
        <f t="shared" si="48"/>
        <v>3000</v>
      </c>
      <c r="I171" s="123">
        <f t="shared" si="48"/>
        <v>3000</v>
      </c>
      <c r="J171" s="123">
        <f t="shared" si="48"/>
        <v>3000</v>
      </c>
      <c r="K171" s="123">
        <f t="shared" si="48"/>
        <v>3000</v>
      </c>
      <c r="L171" s="123">
        <f t="shared" si="48"/>
        <v>3000</v>
      </c>
      <c r="M171" s="123">
        <f t="shared" si="48"/>
        <v>3000</v>
      </c>
    </row>
    <row r="172" spans="1:13" s="35" customFormat="1" x14ac:dyDescent="0.3">
      <c r="A172" s="35" t="s">
        <v>94</v>
      </c>
      <c r="B172" s="17" t="s">
        <v>124</v>
      </c>
      <c r="C172" s="33">
        <f>SUM(D172:M172)</f>
        <v>18000</v>
      </c>
      <c r="D172" s="33">
        <f>IF(D72=0,0,D171)</f>
        <v>0</v>
      </c>
      <c r="E172" s="33">
        <f t="shared" ref="E172:M172" si="49">IF(E72=0,0,E171)</f>
        <v>0</v>
      </c>
      <c r="F172" s="33">
        <f t="shared" si="49"/>
        <v>0</v>
      </c>
      <c r="G172" s="33">
        <f t="shared" si="49"/>
        <v>3000</v>
      </c>
      <c r="H172" s="33">
        <f t="shared" si="49"/>
        <v>3000</v>
      </c>
      <c r="I172" s="33">
        <f t="shared" si="49"/>
        <v>3000</v>
      </c>
      <c r="J172" s="33">
        <f t="shared" si="49"/>
        <v>3000</v>
      </c>
      <c r="K172" s="33">
        <f t="shared" si="49"/>
        <v>3000</v>
      </c>
      <c r="L172" s="33">
        <f t="shared" si="49"/>
        <v>3000</v>
      </c>
      <c r="M172" s="33">
        <f t="shared" si="49"/>
        <v>0</v>
      </c>
    </row>
    <row r="173" spans="1:13" s="35" customFormat="1" ht="6" customHeight="1" x14ac:dyDescent="0.3">
      <c r="C173" s="33"/>
      <c r="D173" s="33"/>
      <c r="E173" s="33"/>
      <c r="F173" s="33"/>
      <c r="G173" s="33"/>
      <c r="H173" s="33"/>
      <c r="I173" s="33"/>
      <c r="J173" s="33"/>
      <c r="K173" s="33"/>
      <c r="L173" s="33"/>
      <c r="M173" s="33"/>
    </row>
    <row r="174" spans="1:13" s="35" customFormat="1" x14ac:dyDescent="0.3">
      <c r="A174" s="34" t="s">
        <v>89</v>
      </c>
      <c r="B174" s="17" t="s">
        <v>124</v>
      </c>
      <c r="C174" s="32">
        <f>SUM(D174:M174)</f>
        <v>125263.40836012864</v>
      </c>
      <c r="D174" s="79">
        <f>D164+D168+D172</f>
        <v>0</v>
      </c>
      <c r="E174" s="79">
        <f t="shared" ref="E174:M174" si="50">E164+E168+E172</f>
        <v>0</v>
      </c>
      <c r="F174" s="79">
        <f t="shared" si="50"/>
        <v>0</v>
      </c>
      <c r="G174" s="79">
        <f t="shared" si="50"/>
        <v>16537.234726688104</v>
      </c>
      <c r="H174" s="79">
        <f t="shared" si="50"/>
        <v>23981.86495176849</v>
      </c>
      <c r="I174" s="79">
        <f t="shared" si="50"/>
        <v>24088.360128617365</v>
      </c>
      <c r="J174" s="79">
        <f t="shared" si="50"/>
        <v>23768.874598070739</v>
      </c>
      <c r="K174" s="79">
        <f t="shared" si="50"/>
        <v>23768.874598070739</v>
      </c>
      <c r="L174" s="79">
        <f t="shared" si="50"/>
        <v>13118.199356913183</v>
      </c>
      <c r="M174" s="79">
        <f t="shared" si="50"/>
        <v>0</v>
      </c>
    </row>
    <row r="175" spans="1:13" s="35" customFormat="1" x14ac:dyDescent="0.3">
      <c r="A175" s="34"/>
      <c r="B175" s="34"/>
      <c r="C175" s="32"/>
      <c r="D175" s="32"/>
      <c r="E175" s="32"/>
      <c r="F175" s="32"/>
      <c r="G175" s="32"/>
      <c r="H175" s="32"/>
      <c r="I175" s="32"/>
      <c r="J175" s="32"/>
      <c r="K175" s="32"/>
      <c r="L175" s="32"/>
      <c r="M175" s="32"/>
    </row>
    <row r="176" spans="1:13" x14ac:dyDescent="0.3">
      <c r="A176" s="31" t="s">
        <v>67</v>
      </c>
      <c r="B176" s="18"/>
      <c r="D176" s="129" t="s">
        <v>128</v>
      </c>
      <c r="E176" s="17"/>
      <c r="F176" s="21"/>
      <c r="G176" s="21"/>
      <c r="H176" s="21"/>
      <c r="I176" s="21"/>
      <c r="J176" s="21"/>
      <c r="K176" s="21"/>
      <c r="L176" s="21"/>
      <c r="M176" s="21"/>
    </row>
    <row r="177" spans="1:13" s="35" customFormat="1" x14ac:dyDescent="0.3">
      <c r="A177" s="35" t="str">
        <f>A68</f>
        <v>Ore production</v>
      </c>
      <c r="B177" s="35" t="str">
        <f>B68</f>
        <v>000 dry tonnes</v>
      </c>
      <c r="C177" s="33">
        <f>SUM(D177:M177)</f>
        <v>3100</v>
      </c>
      <c r="D177" s="33">
        <f t="shared" ref="D177:M177" si="51">D68</f>
        <v>0</v>
      </c>
      <c r="E177" s="33">
        <f t="shared" si="51"/>
        <v>0</v>
      </c>
      <c r="F177" s="33">
        <f t="shared" si="51"/>
        <v>0</v>
      </c>
      <c r="G177" s="33">
        <f t="shared" si="51"/>
        <v>400</v>
      </c>
      <c r="H177" s="33">
        <f t="shared" si="51"/>
        <v>600</v>
      </c>
      <c r="I177" s="33">
        <f t="shared" si="51"/>
        <v>600</v>
      </c>
      <c r="J177" s="33">
        <f t="shared" si="51"/>
        <v>600</v>
      </c>
      <c r="K177" s="33">
        <f t="shared" si="51"/>
        <v>600</v>
      </c>
      <c r="L177" s="33">
        <f t="shared" si="51"/>
        <v>300</v>
      </c>
      <c r="M177" s="33">
        <f t="shared" si="51"/>
        <v>0</v>
      </c>
    </row>
    <row r="178" spans="1:13" x14ac:dyDescent="0.3">
      <c r="A178" s="92" t="s">
        <v>214</v>
      </c>
      <c r="B178" s="18"/>
      <c r="D178" s="17"/>
      <c r="E178" s="21"/>
      <c r="F178" s="21"/>
      <c r="G178" s="21"/>
      <c r="H178" s="21"/>
      <c r="I178" s="21"/>
      <c r="J178" s="21"/>
      <c r="K178" s="21"/>
      <c r="L178" s="21"/>
      <c r="M178" s="21"/>
    </row>
    <row r="179" spans="1:13" x14ac:dyDescent="0.3">
      <c r="A179" s="121" t="s">
        <v>95</v>
      </c>
      <c r="B179" s="121" t="s">
        <v>193</v>
      </c>
      <c r="C179" s="33"/>
      <c r="D179" s="163">
        <v>2</v>
      </c>
      <c r="E179" s="125">
        <f t="shared" ref="E179:M179" si="52">D179</f>
        <v>2</v>
      </c>
      <c r="F179" s="125">
        <f t="shared" si="52"/>
        <v>2</v>
      </c>
      <c r="G179" s="125">
        <f t="shared" si="52"/>
        <v>2</v>
      </c>
      <c r="H179" s="125">
        <f t="shared" si="52"/>
        <v>2</v>
      </c>
      <c r="I179" s="125">
        <f t="shared" si="52"/>
        <v>2</v>
      </c>
      <c r="J179" s="125">
        <f t="shared" si="52"/>
        <v>2</v>
      </c>
      <c r="K179" s="125">
        <f t="shared" si="52"/>
        <v>2</v>
      </c>
      <c r="L179" s="125">
        <f t="shared" si="52"/>
        <v>2</v>
      </c>
      <c r="M179" s="125">
        <f t="shared" si="52"/>
        <v>2</v>
      </c>
    </row>
    <row r="180" spans="1:13" s="35" customFormat="1" x14ac:dyDescent="0.3">
      <c r="A180" s="35" t="s">
        <v>96</v>
      </c>
      <c r="B180" s="17" t="s">
        <v>124</v>
      </c>
      <c r="C180" s="33">
        <f>SUM(D180:M180)</f>
        <v>6200</v>
      </c>
      <c r="D180" s="33">
        <f>D177*D179</f>
        <v>0</v>
      </c>
      <c r="E180" s="33">
        <f t="shared" ref="E180:M180" si="53">E177*E179</f>
        <v>0</v>
      </c>
      <c r="F180" s="33">
        <f t="shared" si="53"/>
        <v>0</v>
      </c>
      <c r="G180" s="33">
        <f t="shared" si="53"/>
        <v>800</v>
      </c>
      <c r="H180" s="33">
        <f t="shared" si="53"/>
        <v>1200</v>
      </c>
      <c r="I180" s="33">
        <f t="shared" si="53"/>
        <v>1200</v>
      </c>
      <c r="J180" s="33">
        <f t="shared" si="53"/>
        <v>1200</v>
      </c>
      <c r="K180" s="33">
        <f t="shared" si="53"/>
        <v>1200</v>
      </c>
      <c r="L180" s="33">
        <f t="shared" si="53"/>
        <v>600</v>
      </c>
      <c r="M180" s="33">
        <f t="shared" si="53"/>
        <v>0</v>
      </c>
    </row>
    <row r="181" spans="1:13" ht="9.65" customHeight="1" x14ac:dyDescent="0.3">
      <c r="A181" s="23"/>
      <c r="C181" s="11"/>
    </row>
    <row r="182" spans="1:13" x14ac:dyDescent="0.3">
      <c r="A182" s="121" t="s">
        <v>97</v>
      </c>
      <c r="B182" s="121" t="s">
        <v>194</v>
      </c>
      <c r="C182" s="33"/>
      <c r="D182" s="123">
        <v>9000</v>
      </c>
      <c r="E182" s="123">
        <f>D182</f>
        <v>9000</v>
      </c>
      <c r="F182" s="123">
        <f t="shared" ref="F182:M182" si="54">E182</f>
        <v>9000</v>
      </c>
      <c r="G182" s="123">
        <f t="shared" si="54"/>
        <v>9000</v>
      </c>
      <c r="H182" s="123">
        <f t="shared" si="54"/>
        <v>9000</v>
      </c>
      <c r="I182" s="123">
        <f t="shared" si="54"/>
        <v>9000</v>
      </c>
      <c r="J182" s="123">
        <f t="shared" si="54"/>
        <v>9000</v>
      </c>
      <c r="K182" s="123">
        <f t="shared" si="54"/>
        <v>9000</v>
      </c>
      <c r="L182" s="123">
        <f t="shared" si="54"/>
        <v>9000</v>
      </c>
      <c r="M182" s="123">
        <f t="shared" si="54"/>
        <v>9000</v>
      </c>
    </row>
    <row r="183" spans="1:13" s="35" customFormat="1" x14ac:dyDescent="0.3">
      <c r="A183" s="35" t="s">
        <v>98</v>
      </c>
      <c r="B183" s="17" t="s">
        <v>124</v>
      </c>
      <c r="C183" s="33">
        <f>SUM(D183:M183)</f>
        <v>54000</v>
      </c>
      <c r="D183" s="33">
        <f>IF(D177=0,0,D182)</f>
        <v>0</v>
      </c>
      <c r="E183" s="33">
        <f t="shared" ref="E183:M183" si="55">IF(E177=0,0,E182)</f>
        <v>0</v>
      </c>
      <c r="F183" s="33">
        <f t="shared" si="55"/>
        <v>0</v>
      </c>
      <c r="G183" s="33">
        <f>IF(G177=0,0,G182)</f>
        <v>9000</v>
      </c>
      <c r="H183" s="33">
        <f t="shared" si="55"/>
        <v>9000</v>
      </c>
      <c r="I183" s="33">
        <f t="shared" si="55"/>
        <v>9000</v>
      </c>
      <c r="J183" s="33">
        <f t="shared" si="55"/>
        <v>9000</v>
      </c>
      <c r="K183" s="33">
        <f t="shared" si="55"/>
        <v>9000</v>
      </c>
      <c r="L183" s="33">
        <f t="shared" si="55"/>
        <v>9000</v>
      </c>
      <c r="M183" s="33">
        <f t="shared" si="55"/>
        <v>0</v>
      </c>
    </row>
    <row r="184" spans="1:13" s="35" customFormat="1" ht="7.25" customHeight="1" x14ac:dyDescent="0.3">
      <c r="A184" s="34"/>
      <c r="B184" s="34"/>
      <c r="C184" s="32"/>
      <c r="D184" s="32"/>
      <c r="E184" s="32"/>
      <c r="F184" s="32"/>
      <c r="G184" s="32"/>
      <c r="H184" s="32"/>
      <c r="I184" s="32"/>
      <c r="J184" s="32"/>
      <c r="K184" s="32"/>
      <c r="L184" s="32"/>
      <c r="M184" s="32"/>
    </row>
    <row r="185" spans="1:13" s="35" customFormat="1" x14ac:dyDescent="0.3">
      <c r="A185" s="34" t="s">
        <v>67</v>
      </c>
      <c r="B185" s="17" t="s">
        <v>124</v>
      </c>
      <c r="C185" s="32">
        <f>SUM(D185:M185)</f>
        <v>60200</v>
      </c>
      <c r="D185" s="79">
        <f>D180+D183</f>
        <v>0</v>
      </c>
      <c r="E185" s="79">
        <f t="shared" ref="E185:M185" si="56">E180+E183</f>
        <v>0</v>
      </c>
      <c r="F185" s="79">
        <f t="shared" si="56"/>
        <v>0</v>
      </c>
      <c r="G185" s="79">
        <f t="shared" si="56"/>
        <v>9800</v>
      </c>
      <c r="H185" s="79">
        <f t="shared" si="56"/>
        <v>10200</v>
      </c>
      <c r="I185" s="79">
        <f t="shared" si="56"/>
        <v>10200</v>
      </c>
      <c r="J185" s="79">
        <f t="shared" si="56"/>
        <v>10200</v>
      </c>
      <c r="K185" s="79">
        <f t="shared" si="56"/>
        <v>10200</v>
      </c>
      <c r="L185" s="79">
        <f t="shared" si="56"/>
        <v>9600</v>
      </c>
      <c r="M185" s="79">
        <f t="shared" si="56"/>
        <v>0</v>
      </c>
    </row>
    <row r="186" spans="1:13" s="35" customFormat="1" x14ac:dyDescent="0.3">
      <c r="A186" s="34"/>
      <c r="B186" s="34"/>
      <c r="C186" s="32"/>
      <c r="D186" s="32"/>
      <c r="E186" s="32"/>
      <c r="F186" s="32"/>
      <c r="G186" s="32"/>
      <c r="H186" s="32"/>
      <c r="I186" s="32"/>
      <c r="J186" s="32"/>
      <c r="K186" s="32"/>
      <c r="L186" s="32"/>
      <c r="M186" s="32"/>
    </row>
    <row r="187" spans="1:13" x14ac:dyDescent="0.3">
      <c r="A187" s="31" t="s">
        <v>99</v>
      </c>
      <c r="B187" s="18"/>
      <c r="D187" s="21"/>
      <c r="E187" s="21"/>
      <c r="F187" s="21"/>
      <c r="G187" s="21"/>
      <c r="H187" s="21"/>
      <c r="I187" s="21"/>
      <c r="J187" s="21"/>
      <c r="K187" s="21"/>
      <c r="L187" s="21"/>
      <c r="M187" s="21"/>
    </row>
    <row r="188" spans="1:13" x14ac:dyDescent="0.3">
      <c r="A188" s="58" t="s">
        <v>215</v>
      </c>
      <c r="C188" s="11"/>
    </row>
    <row r="189" spans="1:13" x14ac:dyDescent="0.3">
      <c r="A189" s="92" t="s">
        <v>221</v>
      </c>
      <c r="C189" s="11"/>
    </row>
    <row r="190" spans="1:13" s="35" customFormat="1" x14ac:dyDescent="0.3">
      <c r="A190" s="35" t="str">
        <f>A88</f>
        <v>Cashstream 1: Revenue - Base Case</v>
      </c>
      <c r="B190" s="35" t="str">
        <f>B88</f>
        <v>US$ 000 Real</v>
      </c>
      <c r="C190" s="33">
        <f>SUM(D190:M190)</f>
        <v>475446.94533762056</v>
      </c>
      <c r="D190" s="33">
        <f>D88</f>
        <v>0</v>
      </c>
      <c r="E190" s="33">
        <f t="shared" ref="E190:M190" si="57">E88</f>
        <v>0</v>
      </c>
      <c r="F190" s="33">
        <f t="shared" si="57"/>
        <v>0</v>
      </c>
      <c r="G190" s="33">
        <f t="shared" si="57"/>
        <v>42507.482914829961</v>
      </c>
      <c r="H190" s="33">
        <f t="shared" si="57"/>
        <v>90782.986999346074</v>
      </c>
      <c r="I190" s="33">
        <f t="shared" si="57"/>
        <v>101959.72745045557</v>
      </c>
      <c r="J190" s="33">
        <f t="shared" si="57"/>
        <v>94082.896533497769</v>
      </c>
      <c r="K190" s="33">
        <f t="shared" si="57"/>
        <v>92379.983668712026</v>
      </c>
      <c r="L190" s="33">
        <f t="shared" si="57"/>
        <v>53733.867770779194</v>
      </c>
      <c r="M190" s="33">
        <f t="shared" si="57"/>
        <v>0</v>
      </c>
    </row>
    <row r="191" spans="1:13" x14ac:dyDescent="0.3">
      <c r="A191" s="121" t="s">
        <v>100</v>
      </c>
      <c r="B191" s="121" t="s">
        <v>101</v>
      </c>
      <c r="C191" s="33"/>
      <c r="D191" s="164">
        <v>1.2500000000000001E-2</v>
      </c>
      <c r="E191" s="164">
        <f t="shared" ref="E191:M191" si="58">D191</f>
        <v>1.2500000000000001E-2</v>
      </c>
      <c r="F191" s="164">
        <f t="shared" si="58"/>
        <v>1.2500000000000001E-2</v>
      </c>
      <c r="G191" s="164">
        <f t="shared" si="58"/>
        <v>1.2500000000000001E-2</v>
      </c>
      <c r="H191" s="164">
        <f t="shared" si="58"/>
        <v>1.2500000000000001E-2</v>
      </c>
      <c r="I191" s="164">
        <f t="shared" si="58"/>
        <v>1.2500000000000001E-2</v>
      </c>
      <c r="J191" s="164">
        <f t="shared" si="58"/>
        <v>1.2500000000000001E-2</v>
      </c>
      <c r="K191" s="164">
        <f t="shared" si="58"/>
        <v>1.2500000000000001E-2</v>
      </c>
      <c r="L191" s="164">
        <f t="shared" si="58"/>
        <v>1.2500000000000001E-2</v>
      </c>
      <c r="M191" s="164">
        <f t="shared" si="58"/>
        <v>1.2500000000000001E-2</v>
      </c>
    </row>
    <row r="192" spans="1:13" s="35" customFormat="1" x14ac:dyDescent="0.3">
      <c r="A192" s="34" t="str">
        <f>A187</f>
        <v>Private Royalties</v>
      </c>
      <c r="B192" s="17" t="s">
        <v>124</v>
      </c>
      <c r="C192" s="32">
        <f>SUM(D192:M192)</f>
        <v>5943.086816720257</v>
      </c>
      <c r="D192" s="79">
        <f>D190*D191</f>
        <v>0</v>
      </c>
      <c r="E192" s="79">
        <f t="shared" ref="E192:M192" si="59">E190*E191</f>
        <v>0</v>
      </c>
      <c r="F192" s="79">
        <f t="shared" si="59"/>
        <v>0</v>
      </c>
      <c r="G192" s="79">
        <f t="shared" si="59"/>
        <v>531.34353643537452</v>
      </c>
      <c r="H192" s="79">
        <f t="shared" si="59"/>
        <v>1134.7873374918261</v>
      </c>
      <c r="I192" s="79">
        <f t="shared" si="59"/>
        <v>1274.4965931306947</v>
      </c>
      <c r="J192" s="79">
        <f t="shared" si="59"/>
        <v>1176.0362066687221</v>
      </c>
      <c r="K192" s="79">
        <f t="shared" si="59"/>
        <v>1154.7497958589004</v>
      </c>
      <c r="L192" s="79">
        <f t="shared" si="59"/>
        <v>671.67334713473997</v>
      </c>
      <c r="M192" s="79">
        <f t="shared" si="59"/>
        <v>0</v>
      </c>
    </row>
    <row r="193" spans="1:13" s="35" customFormat="1" x14ac:dyDescent="0.3">
      <c r="A193" s="34"/>
      <c r="B193" s="17"/>
      <c r="C193" s="32"/>
      <c r="D193" s="32"/>
      <c r="E193" s="32"/>
      <c r="F193" s="32"/>
      <c r="G193" s="32"/>
      <c r="H193" s="32"/>
      <c r="I193" s="32"/>
      <c r="J193" s="32"/>
      <c r="K193" s="32"/>
      <c r="L193" s="32"/>
      <c r="M193" s="32"/>
    </row>
    <row r="194" spans="1:13" x14ac:dyDescent="0.3">
      <c r="A194" s="31" t="s">
        <v>130</v>
      </c>
      <c r="B194" s="18"/>
      <c r="D194" s="129"/>
      <c r="E194" s="17"/>
      <c r="F194" s="21"/>
      <c r="G194" s="21"/>
      <c r="H194" s="21"/>
      <c r="I194" s="21"/>
      <c r="J194" s="21"/>
      <c r="K194" s="21"/>
      <c r="L194" s="21"/>
      <c r="M194" s="21"/>
    </row>
    <row r="195" spans="1:13" x14ac:dyDescent="0.3">
      <c r="A195" s="92" t="s">
        <v>222</v>
      </c>
      <c r="B195" s="18"/>
      <c r="D195" s="17"/>
      <c r="E195" s="21"/>
      <c r="F195" s="21"/>
      <c r="G195" s="21"/>
      <c r="H195" s="21"/>
      <c r="I195" s="21"/>
      <c r="J195" s="21"/>
      <c r="K195" s="21"/>
      <c r="L195" s="21"/>
      <c r="M195" s="21"/>
    </row>
    <row r="196" spans="1:13" s="35" customFormat="1" x14ac:dyDescent="0.3">
      <c r="A196" s="35" t="str">
        <f>A67</f>
        <v>Waste removed</v>
      </c>
      <c r="B196" s="35" t="str">
        <f>B67</f>
        <v>000 dry tonnes</v>
      </c>
      <c r="C196" s="33">
        <f>SUM(D196:M196)</f>
        <v>3580</v>
      </c>
      <c r="D196" s="33">
        <f t="shared" ref="D196:M196" si="60">D67</f>
        <v>0</v>
      </c>
      <c r="E196" s="33">
        <f t="shared" si="60"/>
        <v>0</v>
      </c>
      <c r="F196" s="33">
        <f t="shared" si="60"/>
        <v>950</v>
      </c>
      <c r="G196" s="33">
        <f t="shared" si="60"/>
        <v>700</v>
      </c>
      <c r="H196" s="33">
        <f t="shared" si="60"/>
        <v>700</v>
      </c>
      <c r="I196" s="33">
        <f t="shared" si="60"/>
        <v>700</v>
      </c>
      <c r="J196" s="33">
        <f t="shared" si="60"/>
        <v>300</v>
      </c>
      <c r="K196" s="33">
        <f t="shared" si="60"/>
        <v>230</v>
      </c>
      <c r="L196" s="33">
        <f t="shared" si="60"/>
        <v>0</v>
      </c>
      <c r="M196" s="33">
        <f t="shared" si="60"/>
        <v>0</v>
      </c>
    </row>
    <row r="197" spans="1:13" s="35" customFormat="1" x14ac:dyDescent="0.3">
      <c r="A197" s="35" t="str">
        <f>A68</f>
        <v>Ore production</v>
      </c>
      <c r="B197" s="35" t="str">
        <f>B68</f>
        <v>000 dry tonnes</v>
      </c>
      <c r="C197" s="33">
        <f>SUM(D197:M197)</f>
        <v>3100</v>
      </c>
      <c r="D197" s="33">
        <f t="shared" ref="D197:M197" si="61">D68</f>
        <v>0</v>
      </c>
      <c r="E197" s="33">
        <f t="shared" si="61"/>
        <v>0</v>
      </c>
      <c r="F197" s="33">
        <f t="shared" si="61"/>
        <v>0</v>
      </c>
      <c r="G197" s="33">
        <f t="shared" si="61"/>
        <v>400</v>
      </c>
      <c r="H197" s="33">
        <f t="shared" si="61"/>
        <v>600</v>
      </c>
      <c r="I197" s="33">
        <f t="shared" si="61"/>
        <v>600</v>
      </c>
      <c r="J197" s="33">
        <f t="shared" si="61"/>
        <v>600</v>
      </c>
      <c r="K197" s="33">
        <f t="shared" si="61"/>
        <v>600</v>
      </c>
      <c r="L197" s="33">
        <f t="shared" si="61"/>
        <v>300</v>
      </c>
      <c r="M197" s="33">
        <f t="shared" si="61"/>
        <v>0</v>
      </c>
    </row>
    <row r="198" spans="1:13" x14ac:dyDescent="0.3">
      <c r="A198" s="121" t="s">
        <v>95</v>
      </c>
      <c r="B198" s="121" t="s">
        <v>196</v>
      </c>
      <c r="C198" s="33"/>
      <c r="D198" s="165">
        <v>0.2</v>
      </c>
      <c r="E198" s="125">
        <f t="shared" ref="E198:M198" si="62">D198</f>
        <v>0.2</v>
      </c>
      <c r="F198" s="125">
        <f t="shared" si="62"/>
        <v>0.2</v>
      </c>
      <c r="G198" s="125">
        <f t="shared" si="62"/>
        <v>0.2</v>
      </c>
      <c r="H198" s="125">
        <f t="shared" si="62"/>
        <v>0.2</v>
      </c>
      <c r="I198" s="125">
        <f t="shared" si="62"/>
        <v>0.2</v>
      </c>
      <c r="J198" s="125">
        <f t="shared" si="62"/>
        <v>0.2</v>
      </c>
      <c r="K198" s="125">
        <f t="shared" si="62"/>
        <v>0.2</v>
      </c>
      <c r="L198" s="125">
        <f t="shared" si="62"/>
        <v>0.2</v>
      </c>
      <c r="M198" s="125">
        <f t="shared" si="62"/>
        <v>0.2</v>
      </c>
    </row>
    <row r="199" spans="1:13" s="35" customFormat="1" x14ac:dyDescent="0.3">
      <c r="A199" s="35" t="s">
        <v>131</v>
      </c>
      <c r="B199" s="17" t="s">
        <v>124</v>
      </c>
      <c r="C199" s="33">
        <f>SUM(D199:M199)</f>
        <v>1336</v>
      </c>
      <c r="D199" s="33">
        <f>(D196+D197)*D198</f>
        <v>0</v>
      </c>
      <c r="E199" s="33">
        <f t="shared" ref="E199:M199" si="63">(E196+E197)*E198</f>
        <v>0</v>
      </c>
      <c r="F199" s="33">
        <f t="shared" si="63"/>
        <v>190</v>
      </c>
      <c r="G199" s="33">
        <f t="shared" si="63"/>
        <v>220</v>
      </c>
      <c r="H199" s="33">
        <f t="shared" si="63"/>
        <v>260</v>
      </c>
      <c r="I199" s="33">
        <f t="shared" si="63"/>
        <v>260</v>
      </c>
      <c r="J199" s="33">
        <f t="shared" si="63"/>
        <v>180</v>
      </c>
      <c r="K199" s="33">
        <f t="shared" si="63"/>
        <v>166</v>
      </c>
      <c r="L199" s="33">
        <f t="shared" si="63"/>
        <v>60</v>
      </c>
      <c r="M199" s="33">
        <f t="shared" si="63"/>
        <v>0</v>
      </c>
    </row>
    <row r="200" spans="1:13" ht="9.5" customHeight="1" x14ac:dyDescent="0.3">
      <c r="A200" s="23"/>
      <c r="C200" s="11"/>
    </row>
    <row r="201" spans="1:13" x14ac:dyDescent="0.3">
      <c r="A201" s="121" t="s">
        <v>132</v>
      </c>
      <c r="B201" s="121" t="s">
        <v>129</v>
      </c>
      <c r="C201" s="33"/>
      <c r="D201" s="166">
        <v>40000</v>
      </c>
      <c r="E201" s="123">
        <f>D201</f>
        <v>40000</v>
      </c>
      <c r="F201" s="123">
        <f t="shared" ref="F201:M201" si="64">E201</f>
        <v>40000</v>
      </c>
      <c r="G201" s="123">
        <f t="shared" si="64"/>
        <v>40000</v>
      </c>
      <c r="H201" s="123">
        <f t="shared" si="64"/>
        <v>40000</v>
      </c>
      <c r="I201" s="123">
        <f t="shared" si="64"/>
        <v>40000</v>
      </c>
      <c r="J201" s="123">
        <f t="shared" si="64"/>
        <v>40000</v>
      </c>
      <c r="K201" s="123">
        <f t="shared" si="64"/>
        <v>40000</v>
      </c>
      <c r="L201" s="123">
        <f t="shared" si="64"/>
        <v>40000</v>
      </c>
      <c r="M201" s="123">
        <f t="shared" si="64"/>
        <v>40000</v>
      </c>
    </row>
    <row r="202" spans="1:13" s="35" customFormat="1" x14ac:dyDescent="0.3">
      <c r="A202" s="35" t="s">
        <v>133</v>
      </c>
      <c r="B202" s="17" t="s">
        <v>124</v>
      </c>
      <c r="C202" s="33">
        <f>SUM(D202:M202)</f>
        <v>40000</v>
      </c>
      <c r="D202" s="167"/>
      <c r="E202" s="33">
        <f>IF(AND(D197&gt;0,E197=0),E201,0)</f>
        <v>0</v>
      </c>
      <c r="F202" s="33">
        <f t="shared" ref="F202:M202" si="65">IF(AND(E197&gt;0,F197=0),F201,0)</f>
        <v>0</v>
      </c>
      <c r="G202" s="33">
        <f t="shared" si="65"/>
        <v>0</v>
      </c>
      <c r="H202" s="33">
        <f t="shared" si="65"/>
        <v>0</v>
      </c>
      <c r="I202" s="33">
        <f t="shared" si="65"/>
        <v>0</v>
      </c>
      <c r="J202" s="33">
        <f t="shared" si="65"/>
        <v>0</v>
      </c>
      <c r="K202" s="33">
        <f t="shared" si="65"/>
        <v>0</v>
      </c>
      <c r="L202" s="33">
        <f t="shared" si="65"/>
        <v>0</v>
      </c>
      <c r="M202" s="33">
        <f t="shared" si="65"/>
        <v>40000</v>
      </c>
    </row>
    <row r="203" spans="1:13" s="35" customFormat="1" ht="7.25" customHeight="1" x14ac:dyDescent="0.3">
      <c r="A203" s="34"/>
      <c r="B203" s="34"/>
      <c r="C203" s="32"/>
      <c r="D203" s="32"/>
      <c r="E203" s="32"/>
      <c r="F203" s="32"/>
      <c r="G203" s="32"/>
      <c r="H203" s="32"/>
      <c r="I203" s="32"/>
      <c r="J203" s="32"/>
      <c r="K203" s="32"/>
      <c r="L203" s="32"/>
      <c r="M203" s="32"/>
    </row>
    <row r="204" spans="1:13" s="35" customFormat="1" x14ac:dyDescent="0.3">
      <c r="A204" s="34" t="str">
        <f>A194</f>
        <v>Rehab &amp; Closure</v>
      </c>
      <c r="B204" s="17" t="s">
        <v>124</v>
      </c>
      <c r="C204" s="32">
        <f>SUM(D204:M204)</f>
        <v>41336</v>
      </c>
      <c r="D204" s="79">
        <f>D199+D202</f>
        <v>0</v>
      </c>
      <c r="E204" s="79">
        <f t="shared" ref="E204:M204" si="66">E199+E202</f>
        <v>0</v>
      </c>
      <c r="F204" s="79">
        <f t="shared" si="66"/>
        <v>190</v>
      </c>
      <c r="G204" s="79">
        <f t="shared" si="66"/>
        <v>220</v>
      </c>
      <c r="H204" s="79">
        <f t="shared" si="66"/>
        <v>260</v>
      </c>
      <c r="I204" s="79">
        <f t="shared" si="66"/>
        <v>260</v>
      </c>
      <c r="J204" s="79">
        <f t="shared" si="66"/>
        <v>180</v>
      </c>
      <c r="K204" s="79">
        <f t="shared" si="66"/>
        <v>166</v>
      </c>
      <c r="L204" s="79">
        <f t="shared" si="66"/>
        <v>60</v>
      </c>
      <c r="M204" s="79">
        <f t="shared" si="66"/>
        <v>40000</v>
      </c>
    </row>
    <row r="205" spans="1:13" s="35" customFormat="1" ht="15" customHeight="1" x14ac:dyDescent="0.3">
      <c r="B205" s="17"/>
      <c r="C205" s="33"/>
      <c r="D205" s="33"/>
      <c r="E205" s="33"/>
      <c r="F205" s="33"/>
      <c r="G205" s="33"/>
      <c r="H205" s="33"/>
      <c r="I205" s="33"/>
      <c r="J205" s="33"/>
      <c r="K205" s="33"/>
      <c r="L205" s="33"/>
      <c r="M205" s="33"/>
    </row>
    <row r="206" spans="1:13" ht="15.5" x14ac:dyDescent="0.35">
      <c r="A206" s="107" t="s">
        <v>74</v>
      </c>
      <c r="B206" s="17" t="s">
        <v>124</v>
      </c>
      <c r="C206" s="155">
        <f>SUM(D206:M206)</f>
        <v>293312.49517684884</v>
      </c>
      <c r="D206" s="108">
        <f t="shared" ref="D206:M206" si="67">D158+D174+D185+D192+D204</f>
        <v>0</v>
      </c>
      <c r="E206" s="108">
        <f t="shared" si="67"/>
        <v>0</v>
      </c>
      <c r="F206" s="108">
        <f t="shared" si="67"/>
        <v>3990</v>
      </c>
      <c r="G206" s="108">
        <f t="shared" si="67"/>
        <v>36388.578263123476</v>
      </c>
      <c r="H206" s="108">
        <f t="shared" si="67"/>
        <v>46176.652289260317</v>
      </c>
      <c r="I206" s="108">
        <f t="shared" si="67"/>
        <v>46722.856721748059</v>
      </c>
      <c r="J206" s="108">
        <f t="shared" si="67"/>
        <v>44924.910804739462</v>
      </c>
      <c r="K206" s="108">
        <f t="shared" si="67"/>
        <v>44909.62439392964</v>
      </c>
      <c r="L206" s="108">
        <f t="shared" si="67"/>
        <v>30199.872704047921</v>
      </c>
      <c r="M206" s="108">
        <f t="shared" si="67"/>
        <v>40000</v>
      </c>
    </row>
    <row r="207" spans="1:13" ht="11.5" customHeight="1" x14ac:dyDescent="0.35">
      <c r="A207" s="107"/>
      <c r="C207" s="155"/>
      <c r="D207" s="168"/>
      <c r="E207" s="168"/>
      <c r="F207" s="168"/>
      <c r="G207" s="168"/>
      <c r="H207" s="168"/>
      <c r="I207" s="168"/>
      <c r="J207" s="168"/>
      <c r="K207" s="168"/>
      <c r="L207" s="168"/>
      <c r="M207" s="168"/>
    </row>
    <row r="208" spans="1:13" x14ac:dyDescent="0.3">
      <c r="A208" s="169" t="s">
        <v>220</v>
      </c>
      <c r="C208" s="32"/>
      <c r="D208" s="32"/>
      <c r="E208" s="32"/>
      <c r="F208" s="32"/>
      <c r="G208" s="32"/>
      <c r="H208" s="32"/>
      <c r="I208" s="32"/>
      <c r="J208" s="32"/>
      <c r="K208" s="32"/>
      <c r="L208" s="32"/>
      <c r="M208" s="32"/>
    </row>
    <row r="209" spans="1:13" x14ac:dyDescent="0.3">
      <c r="A209" s="58" t="s">
        <v>223</v>
      </c>
      <c r="B209" s="18"/>
      <c r="D209" s="21"/>
      <c r="E209" s="21"/>
      <c r="F209" s="21"/>
      <c r="G209" s="21"/>
      <c r="H209" s="21"/>
      <c r="I209" s="21"/>
      <c r="J209" s="21"/>
      <c r="K209" s="21"/>
      <c r="L209" s="21"/>
      <c r="M209" s="21"/>
    </row>
    <row r="210" spans="1:13" x14ac:dyDescent="0.3">
      <c r="A210" s="60" t="s">
        <v>219</v>
      </c>
      <c r="B210" s="35" t="s">
        <v>123</v>
      </c>
      <c r="C210" s="32">
        <f>IF(C72=0,0,C206/C72)</f>
        <v>1233.8390142292915</v>
      </c>
      <c r="D210" s="33">
        <f>IF(D72=0,0,D206/D72)</f>
        <v>0</v>
      </c>
      <c r="E210" s="33">
        <f>IF(E72=0,0,E206/E72)</f>
        <v>0</v>
      </c>
      <c r="F210" s="33">
        <f>IF(F72=0,0,#REF!/F72)</f>
        <v>0</v>
      </c>
      <c r="G210" s="33">
        <f t="shared" ref="G210:M210" si="68">IF(G72=0,0,G206/G72)</f>
        <v>1420.287128492897</v>
      </c>
      <c r="H210" s="33">
        <f t="shared" si="68"/>
        <v>929.14977108954179</v>
      </c>
      <c r="I210" s="33">
        <f t="shared" si="68"/>
        <v>907.72166669563001</v>
      </c>
      <c r="J210" s="33">
        <f t="shared" si="68"/>
        <v>973.49827621752877</v>
      </c>
      <c r="K210" s="33">
        <f t="shared" si="68"/>
        <v>973.16702804571617</v>
      </c>
      <c r="L210" s="33">
        <f t="shared" si="68"/>
        <v>1620.4555574463254</v>
      </c>
      <c r="M210" s="33">
        <f t="shared" si="68"/>
        <v>0</v>
      </c>
    </row>
    <row r="211" spans="1:13" x14ac:dyDescent="0.3">
      <c r="A211" s="60" t="s">
        <v>107</v>
      </c>
      <c r="B211" s="35" t="s">
        <v>123</v>
      </c>
      <c r="C211" s="32">
        <f>IF(C72=0,0,(C206+C219)/C72)</f>
        <v>1293.8390142292917</v>
      </c>
      <c r="D211" s="33">
        <f>IF(D72=0,0,(D206+D219)/D72)</f>
        <v>0</v>
      </c>
      <c r="E211" s="33">
        <f>IF(E72=0,0,(E206+E219)/E72)</f>
        <v>0</v>
      </c>
      <c r="F211" s="33">
        <f>IF(F72=0,0,(#REF!+F219)/F72)</f>
        <v>0</v>
      </c>
      <c r="G211" s="33">
        <f t="shared" ref="G211:M211" si="69">IF(G72=0,0,(G206+G219)/G72)</f>
        <v>1470.0605742252467</v>
      </c>
      <c r="H211" s="33">
        <f t="shared" si="69"/>
        <v>983.95083661127433</v>
      </c>
      <c r="I211" s="33">
        <f t="shared" si="69"/>
        <v>967.14721998853054</v>
      </c>
      <c r="J211" s="33">
        <f t="shared" si="69"/>
        <v>1034.6600254272232</v>
      </c>
      <c r="K211" s="33">
        <f t="shared" si="69"/>
        <v>1033.2217415092812</v>
      </c>
      <c r="L211" s="33">
        <f t="shared" si="69"/>
        <v>1706.9526220255818</v>
      </c>
      <c r="M211" s="33">
        <f t="shared" si="69"/>
        <v>0</v>
      </c>
    </row>
    <row r="212" spans="1:13" x14ac:dyDescent="0.3">
      <c r="A212" s="18"/>
      <c r="B212" s="18"/>
      <c r="D212" s="21"/>
      <c r="E212" s="21"/>
      <c r="F212" s="21"/>
      <c r="G212" s="21"/>
      <c r="H212" s="21"/>
      <c r="I212" s="21"/>
      <c r="J212" s="21"/>
      <c r="K212" s="21"/>
      <c r="L212" s="21"/>
      <c r="M212" s="21"/>
    </row>
    <row r="213" spans="1:13" s="183" customFormat="1" ht="33.5" customHeight="1" x14ac:dyDescent="0.35">
      <c r="A213" s="180" t="str">
        <f>'Results &amp; Common Inputs'!A$28</f>
        <v>Life of Business</v>
      </c>
      <c r="B213" s="180" t="str">
        <f>'Results &amp; Common Inputs'!B$28</f>
        <v>units</v>
      </c>
      <c r="C213" s="181" t="str">
        <f>'Results &amp; Common Inputs'!C$28</f>
        <v>Total</v>
      </c>
      <c r="D213" s="182">
        <f>'Results &amp; Common Inputs'!D$28</f>
        <v>2026</v>
      </c>
      <c r="E213" s="182">
        <f>'Results &amp; Common Inputs'!E$28</f>
        <v>2027</v>
      </c>
      <c r="F213" s="182">
        <f>'Results &amp; Common Inputs'!F$28</f>
        <v>2028</v>
      </c>
      <c r="G213" s="182">
        <f>'Results &amp; Common Inputs'!G$28</f>
        <v>2029</v>
      </c>
      <c r="H213" s="182">
        <f>'Results &amp; Common Inputs'!H$28</f>
        <v>2030</v>
      </c>
      <c r="I213" s="182">
        <f>'Results &amp; Common Inputs'!I$28</f>
        <v>2031</v>
      </c>
      <c r="J213" s="182">
        <f>'Results &amp; Common Inputs'!J$28</f>
        <v>2032</v>
      </c>
      <c r="K213" s="182">
        <f>'Results &amp; Common Inputs'!K$28</f>
        <v>2033</v>
      </c>
      <c r="L213" s="182">
        <f>'Results &amp; Common Inputs'!L$28</f>
        <v>2034</v>
      </c>
      <c r="M213" s="182">
        <f>'Results &amp; Common Inputs'!M$28</f>
        <v>2035</v>
      </c>
    </row>
    <row r="214" spans="1:13" s="63" customFormat="1" ht="43.75" customHeight="1" x14ac:dyDescent="0.35">
      <c r="A214" s="98" t="s">
        <v>27</v>
      </c>
      <c r="C214" s="64"/>
      <c r="D214" s="64"/>
      <c r="E214" s="64"/>
      <c r="F214" s="64"/>
      <c r="G214" s="64"/>
      <c r="H214" s="64"/>
      <c r="I214" s="64"/>
      <c r="J214" s="64"/>
      <c r="K214" s="64"/>
      <c r="L214" s="64"/>
      <c r="M214" s="64"/>
    </row>
    <row r="215" spans="1:13" x14ac:dyDescent="0.3">
      <c r="A215" s="31" t="s">
        <v>28</v>
      </c>
      <c r="B215" s="18"/>
      <c r="D215" s="21"/>
      <c r="E215" s="21"/>
      <c r="F215" s="21"/>
      <c r="G215" s="21"/>
      <c r="H215" s="21"/>
      <c r="I215" s="21"/>
      <c r="J215" s="21"/>
      <c r="K215" s="21"/>
      <c r="L215" s="21"/>
      <c r="M215" s="21"/>
    </row>
    <row r="216" spans="1:13" x14ac:dyDescent="0.3">
      <c r="A216" s="92" t="s">
        <v>224</v>
      </c>
      <c r="C216" s="11"/>
    </row>
    <row r="217" spans="1:13" s="35" customFormat="1" x14ac:dyDescent="0.3">
      <c r="A217" s="35" t="str">
        <f>A$88</f>
        <v>Cashstream 1: Revenue - Base Case</v>
      </c>
      <c r="B217" s="35" t="str">
        <f>B$88</f>
        <v>US$ 000 Real</v>
      </c>
      <c r="C217" s="33">
        <f t="shared" ref="C217" si="70">SUM(D217:M217)</f>
        <v>475446.94533762056</v>
      </c>
      <c r="D217" s="33">
        <f t="shared" ref="D217:M217" si="71">D$88</f>
        <v>0</v>
      </c>
      <c r="E217" s="33">
        <f t="shared" si="71"/>
        <v>0</v>
      </c>
      <c r="F217" s="33">
        <f t="shared" si="71"/>
        <v>0</v>
      </c>
      <c r="G217" s="33">
        <f t="shared" si="71"/>
        <v>42507.482914829961</v>
      </c>
      <c r="H217" s="33">
        <f t="shared" si="71"/>
        <v>90782.986999346074</v>
      </c>
      <c r="I217" s="33">
        <f t="shared" si="71"/>
        <v>101959.72745045557</v>
      </c>
      <c r="J217" s="33">
        <f t="shared" si="71"/>
        <v>94082.896533497769</v>
      </c>
      <c r="K217" s="33">
        <f t="shared" si="71"/>
        <v>92379.983668712026</v>
      </c>
      <c r="L217" s="33">
        <f t="shared" si="71"/>
        <v>53733.867770779194</v>
      </c>
      <c r="M217" s="33">
        <f t="shared" si="71"/>
        <v>0</v>
      </c>
    </row>
    <row r="218" spans="1:13" s="161" customFormat="1" x14ac:dyDescent="0.3">
      <c r="A218" s="170" t="str">
        <f>'Results &amp; Common Inputs'!A35</f>
        <v>State Royalty</v>
      </c>
      <c r="B218" s="170" t="str">
        <f>'Results &amp; Common Inputs'!B35</f>
        <v>% of revenue</v>
      </c>
      <c r="C218" s="170"/>
      <c r="D218" s="171">
        <f>'Results &amp; Common Inputs'!D35</f>
        <v>0.03</v>
      </c>
      <c r="E218" s="171">
        <f>'Results &amp; Common Inputs'!E35</f>
        <v>0.03</v>
      </c>
      <c r="F218" s="171">
        <f>'Results &amp; Common Inputs'!F35</f>
        <v>0.03</v>
      </c>
      <c r="G218" s="171">
        <f>'Results &amp; Common Inputs'!G35</f>
        <v>0.03</v>
      </c>
      <c r="H218" s="171">
        <f>'Results &amp; Common Inputs'!H35</f>
        <v>0.03</v>
      </c>
      <c r="I218" s="171">
        <f>'Results &amp; Common Inputs'!I35</f>
        <v>0.03</v>
      </c>
      <c r="J218" s="171">
        <f>'Results &amp; Common Inputs'!J35</f>
        <v>0.03</v>
      </c>
      <c r="K218" s="171">
        <f>'Results &amp; Common Inputs'!K35</f>
        <v>0.03</v>
      </c>
      <c r="L218" s="171">
        <f>'Results &amp; Common Inputs'!L35</f>
        <v>0.03</v>
      </c>
      <c r="M218" s="171">
        <f>'Results &amp; Common Inputs'!M35</f>
        <v>0.03</v>
      </c>
    </row>
    <row r="219" spans="1:13" s="35" customFormat="1" x14ac:dyDescent="0.3">
      <c r="A219" s="34" t="s">
        <v>29</v>
      </c>
      <c r="B219" s="17" t="s">
        <v>124</v>
      </c>
      <c r="C219" s="32">
        <f>SUM(D219:M219)</f>
        <v>14263.408360128618</v>
      </c>
      <c r="D219" s="79">
        <f>D217*D218</f>
        <v>0</v>
      </c>
      <c r="E219" s="79">
        <f t="shared" ref="E219:M219" si="72">E217*E218</f>
        <v>0</v>
      </c>
      <c r="F219" s="79">
        <f t="shared" si="72"/>
        <v>0</v>
      </c>
      <c r="G219" s="79">
        <f t="shared" si="72"/>
        <v>1275.2244874448988</v>
      </c>
      <c r="H219" s="79">
        <f t="shared" si="72"/>
        <v>2723.4896099803823</v>
      </c>
      <c r="I219" s="79">
        <f t="shared" si="72"/>
        <v>3058.7918235136667</v>
      </c>
      <c r="J219" s="79">
        <f t="shared" si="72"/>
        <v>2822.486896004933</v>
      </c>
      <c r="K219" s="79">
        <f t="shared" si="72"/>
        <v>2771.3995100613606</v>
      </c>
      <c r="L219" s="79">
        <f t="shared" si="72"/>
        <v>1612.0160331233758</v>
      </c>
      <c r="M219" s="79">
        <f t="shared" si="72"/>
        <v>0</v>
      </c>
    </row>
    <row r="220" spans="1:13" x14ac:dyDescent="0.3">
      <c r="A220" s="18"/>
      <c r="B220" s="18"/>
      <c r="D220" s="21"/>
      <c r="E220" s="21"/>
      <c r="F220" s="21"/>
      <c r="G220" s="21"/>
      <c r="H220" s="21"/>
      <c r="I220" s="21"/>
      <c r="J220" s="21"/>
      <c r="K220" s="21"/>
      <c r="L220" s="21"/>
      <c r="M220" s="21"/>
    </row>
    <row r="221" spans="1:13" x14ac:dyDescent="0.3">
      <c r="A221" s="31" t="s">
        <v>31</v>
      </c>
      <c r="B221" s="18"/>
      <c r="D221" s="21"/>
      <c r="E221" s="21"/>
      <c r="F221" s="21"/>
      <c r="G221" s="21"/>
      <c r="H221" s="21"/>
      <c r="I221" s="21"/>
      <c r="J221" s="21"/>
      <c r="K221" s="21"/>
      <c r="L221" s="21"/>
      <c r="M221" s="21"/>
    </row>
    <row r="222" spans="1:13" x14ac:dyDescent="0.3">
      <c r="A222" s="23" t="s">
        <v>226</v>
      </c>
      <c r="B222" s="18"/>
      <c r="D222" s="21"/>
      <c r="E222" s="21"/>
      <c r="F222" s="21"/>
      <c r="G222" s="21"/>
      <c r="H222" s="21"/>
      <c r="I222" s="21"/>
      <c r="J222" s="21"/>
      <c r="K222" s="21"/>
      <c r="L222" s="21"/>
      <c r="M222" s="21"/>
    </row>
    <row r="223" spans="1:13" x14ac:dyDescent="0.3">
      <c r="A223" s="23" t="s">
        <v>227</v>
      </c>
      <c r="B223" s="18"/>
      <c r="D223" s="21"/>
      <c r="E223" s="21"/>
      <c r="F223" s="21"/>
      <c r="G223" s="21"/>
      <c r="H223" s="21"/>
      <c r="I223" s="21"/>
      <c r="J223" s="21"/>
      <c r="K223" s="21"/>
      <c r="L223" s="21"/>
      <c r="M223" s="21"/>
    </row>
    <row r="224" spans="1:13" x14ac:dyDescent="0.3">
      <c r="A224" s="23" t="s">
        <v>228</v>
      </c>
      <c r="B224" s="18"/>
      <c r="D224" s="21"/>
      <c r="E224" s="21"/>
      <c r="F224" s="21"/>
      <c r="G224" s="21"/>
      <c r="H224" s="21"/>
      <c r="I224" s="21"/>
      <c r="J224" s="21"/>
      <c r="K224" s="21"/>
      <c r="L224" s="21"/>
      <c r="M224" s="21"/>
    </row>
    <row r="225" spans="1:13" x14ac:dyDescent="0.3">
      <c r="A225" s="23" t="s">
        <v>225</v>
      </c>
      <c r="B225" s="18"/>
      <c r="D225" s="21"/>
      <c r="E225" s="21"/>
      <c r="F225" s="21"/>
      <c r="G225" s="21"/>
      <c r="H225" s="21"/>
      <c r="I225" s="21"/>
      <c r="J225" s="21"/>
      <c r="K225" s="21"/>
      <c r="L225" s="21"/>
      <c r="M225" s="21"/>
    </row>
    <row r="226" spans="1:13" x14ac:dyDescent="0.3">
      <c r="A226" s="23" t="s">
        <v>229</v>
      </c>
      <c r="B226" s="18"/>
      <c r="D226" s="21"/>
      <c r="E226" s="21"/>
      <c r="F226" s="21"/>
      <c r="G226" s="21"/>
      <c r="H226" s="21"/>
      <c r="I226" s="21"/>
      <c r="J226" s="21"/>
      <c r="K226" s="21"/>
      <c r="L226" s="21"/>
      <c r="M226" s="21"/>
    </row>
    <row r="227" spans="1:13" x14ac:dyDescent="0.3">
      <c r="A227" s="23"/>
      <c r="B227" s="18"/>
      <c r="D227" s="21"/>
      <c r="E227" s="21"/>
      <c r="F227" s="21"/>
      <c r="G227" s="21"/>
      <c r="H227" s="21"/>
      <c r="I227" s="21"/>
      <c r="J227" s="21"/>
      <c r="K227" s="21"/>
      <c r="L227" s="21"/>
      <c r="M227" s="21"/>
    </row>
    <row r="228" spans="1:13" x14ac:dyDescent="0.3">
      <c r="A228" s="92" t="s">
        <v>230</v>
      </c>
      <c r="B228" s="18"/>
      <c r="D228" s="21"/>
      <c r="E228" s="21"/>
      <c r="F228" s="21"/>
      <c r="G228" s="21"/>
      <c r="H228" s="21"/>
      <c r="I228" s="21"/>
      <c r="J228" s="21"/>
      <c r="K228" s="21"/>
      <c r="L228" s="21"/>
      <c r="M228" s="21"/>
    </row>
    <row r="229" spans="1:13" s="35" customFormat="1" x14ac:dyDescent="0.3">
      <c r="A229" s="35" t="str">
        <f>A$88</f>
        <v>Cashstream 1: Revenue - Base Case</v>
      </c>
      <c r="B229" s="35" t="str">
        <f>B$88</f>
        <v>US$ 000 Real</v>
      </c>
      <c r="C229" s="33">
        <f t="shared" ref="C229:C234" si="73">SUM(D229:M229)</f>
        <v>475446.94533762056</v>
      </c>
      <c r="D229" s="33">
        <f t="shared" ref="D229:M229" si="74">D$88</f>
        <v>0</v>
      </c>
      <c r="E229" s="33">
        <f t="shared" si="74"/>
        <v>0</v>
      </c>
      <c r="F229" s="33">
        <f t="shared" si="74"/>
        <v>0</v>
      </c>
      <c r="G229" s="33">
        <f t="shared" si="74"/>
        <v>42507.482914829961</v>
      </c>
      <c r="H229" s="33">
        <f t="shared" si="74"/>
        <v>90782.986999346074</v>
      </c>
      <c r="I229" s="33">
        <f t="shared" si="74"/>
        <v>101959.72745045557</v>
      </c>
      <c r="J229" s="33">
        <f t="shared" si="74"/>
        <v>94082.896533497769</v>
      </c>
      <c r="K229" s="33">
        <f t="shared" si="74"/>
        <v>92379.983668712026</v>
      </c>
      <c r="L229" s="33">
        <f t="shared" si="74"/>
        <v>53733.867770779194</v>
      </c>
      <c r="M229" s="33">
        <f t="shared" si="74"/>
        <v>0</v>
      </c>
    </row>
    <row r="230" spans="1:13" s="35" customFormat="1" ht="14.25" customHeight="1" x14ac:dyDescent="0.3">
      <c r="A230" s="35" t="s">
        <v>30</v>
      </c>
      <c r="C230" s="33"/>
      <c r="D230" s="33"/>
      <c r="E230" s="33"/>
      <c r="F230" s="33"/>
      <c r="G230" s="33"/>
      <c r="H230" s="33"/>
      <c r="I230" s="33"/>
      <c r="J230" s="33"/>
      <c r="K230" s="33"/>
      <c r="L230" s="33"/>
      <c r="M230" s="33"/>
    </row>
    <row r="231" spans="1:13" s="35" customFormat="1" x14ac:dyDescent="0.3">
      <c r="A231" s="35" t="str">
        <f>A206</f>
        <v>Cashstream 3: Operating Costs - Base Case</v>
      </c>
      <c r="B231" s="35" t="str">
        <f>B206</f>
        <v>US$ 000 Real</v>
      </c>
      <c r="C231" s="33">
        <f t="shared" si="73"/>
        <v>293312.49517684884</v>
      </c>
      <c r="D231" s="33">
        <f t="shared" ref="D231:M231" si="75">D206</f>
        <v>0</v>
      </c>
      <c r="E231" s="33">
        <f t="shared" si="75"/>
        <v>0</v>
      </c>
      <c r="F231" s="33">
        <f t="shared" si="75"/>
        <v>3990</v>
      </c>
      <c r="G231" s="33">
        <f t="shared" si="75"/>
        <v>36388.578263123476</v>
      </c>
      <c r="H231" s="33">
        <f t="shared" si="75"/>
        <v>46176.652289260317</v>
      </c>
      <c r="I231" s="33">
        <f t="shared" si="75"/>
        <v>46722.856721748059</v>
      </c>
      <c r="J231" s="33">
        <f t="shared" si="75"/>
        <v>44924.910804739462</v>
      </c>
      <c r="K231" s="33">
        <f t="shared" si="75"/>
        <v>44909.62439392964</v>
      </c>
      <c r="L231" s="33">
        <f t="shared" si="75"/>
        <v>30199.872704047921</v>
      </c>
      <c r="M231" s="33">
        <f t="shared" si="75"/>
        <v>40000</v>
      </c>
    </row>
    <row r="232" spans="1:13" s="35" customFormat="1" x14ac:dyDescent="0.3">
      <c r="A232" s="35" t="str">
        <f>A136</f>
        <v>Real terms tax deduction for capital expenditure</v>
      </c>
      <c r="B232" s="35" t="str">
        <f>B136</f>
        <v>US$ 000 Real</v>
      </c>
      <c r="C232" s="33">
        <f t="shared" si="73"/>
        <v>95088.868379338761</v>
      </c>
      <c r="D232" s="33">
        <f t="shared" ref="D232:M232" si="76">D136</f>
        <v>0</v>
      </c>
      <c r="E232" s="33">
        <f t="shared" si="76"/>
        <v>0</v>
      </c>
      <c r="F232" s="33">
        <f t="shared" si="76"/>
        <v>0</v>
      </c>
      <c r="G232" s="33">
        <f t="shared" si="76"/>
        <v>16557.067834608231</v>
      </c>
      <c r="H232" s="33">
        <f t="shared" si="76"/>
        <v>13724.314584270758</v>
      </c>
      <c r="I232" s="33">
        <f t="shared" si="76"/>
        <v>12016.407782552027</v>
      </c>
      <c r="J232" s="33">
        <f t="shared" si="76"/>
        <v>10385.593957758843</v>
      </c>
      <c r="K232" s="33">
        <f t="shared" si="76"/>
        <v>9186.4661454109137</v>
      </c>
      <c r="L232" s="33">
        <f t="shared" si="76"/>
        <v>33219.018074737978</v>
      </c>
      <c r="M232" s="33">
        <f t="shared" si="76"/>
        <v>0</v>
      </c>
    </row>
    <row r="233" spans="1:13" s="35" customFormat="1" x14ac:dyDescent="0.3">
      <c r="A233" s="35" t="str">
        <f>A219</f>
        <v>State Royalty</v>
      </c>
      <c r="B233" s="35" t="str">
        <f>B219</f>
        <v>US$ 000 Real</v>
      </c>
      <c r="C233" s="33">
        <f t="shared" si="73"/>
        <v>14263.408360128618</v>
      </c>
      <c r="D233" s="33">
        <f>D219</f>
        <v>0</v>
      </c>
      <c r="E233" s="33">
        <f t="shared" ref="E233:M233" si="77">E219</f>
        <v>0</v>
      </c>
      <c r="F233" s="33">
        <f t="shared" si="77"/>
        <v>0</v>
      </c>
      <c r="G233" s="33">
        <f t="shared" si="77"/>
        <v>1275.2244874448988</v>
      </c>
      <c r="H233" s="33">
        <f t="shared" si="77"/>
        <v>2723.4896099803823</v>
      </c>
      <c r="I233" s="33">
        <f t="shared" si="77"/>
        <v>3058.7918235136667</v>
      </c>
      <c r="J233" s="33">
        <f t="shared" si="77"/>
        <v>2822.486896004933</v>
      </c>
      <c r="K233" s="33">
        <f t="shared" si="77"/>
        <v>2771.3995100613606</v>
      </c>
      <c r="L233" s="33">
        <f t="shared" si="77"/>
        <v>1612.0160331233758</v>
      </c>
      <c r="M233" s="33">
        <f t="shared" si="77"/>
        <v>0</v>
      </c>
    </row>
    <row r="234" spans="1:13" s="35" customFormat="1" x14ac:dyDescent="0.3">
      <c r="A234" s="35" t="s">
        <v>32</v>
      </c>
      <c r="B234" s="17" t="s">
        <v>124</v>
      </c>
      <c r="C234" s="33">
        <f t="shared" si="73"/>
        <v>72782.173421304353</v>
      </c>
      <c r="D234" s="37">
        <f>D229-SUM(D231:D233)</f>
        <v>0</v>
      </c>
      <c r="E234" s="37">
        <f t="shared" ref="E234:M234" si="78">E229-SUM(E231:E233)</f>
        <v>0</v>
      </c>
      <c r="F234" s="37">
        <f t="shared" si="78"/>
        <v>-3990</v>
      </c>
      <c r="G234" s="37">
        <f t="shared" si="78"/>
        <v>-11713.387670346638</v>
      </c>
      <c r="H234" s="37">
        <f t="shared" si="78"/>
        <v>28158.530515834616</v>
      </c>
      <c r="I234" s="37">
        <f t="shared" si="78"/>
        <v>40161.671122641812</v>
      </c>
      <c r="J234" s="37">
        <f t="shared" si="78"/>
        <v>35949.904874994529</v>
      </c>
      <c r="K234" s="37">
        <f t="shared" si="78"/>
        <v>35512.493619310109</v>
      </c>
      <c r="L234" s="37">
        <f t="shared" si="78"/>
        <v>-11297.039041130083</v>
      </c>
      <c r="M234" s="37">
        <f t="shared" si="78"/>
        <v>-40000</v>
      </c>
    </row>
    <row r="235" spans="1:13" ht="9" customHeight="1" x14ac:dyDescent="0.3">
      <c r="A235" s="19"/>
      <c r="B235" s="18"/>
      <c r="D235" s="21"/>
      <c r="E235" s="21"/>
      <c r="F235" s="21"/>
      <c r="G235" s="21"/>
      <c r="H235" s="21"/>
      <c r="I235" s="21"/>
      <c r="J235" s="21"/>
      <c r="K235" s="21"/>
      <c r="L235" s="21"/>
      <c r="M235" s="21"/>
    </row>
    <row r="236" spans="1:13" s="173" customFormat="1" x14ac:dyDescent="0.3">
      <c r="A236" s="170" t="str">
        <f>'Results &amp; Common Inputs'!A37</f>
        <v>Company Income Tax  Rate</v>
      </c>
      <c r="B236" s="170" t="str">
        <f>'Results &amp; Common Inputs'!B37</f>
        <v>% of assessable income</v>
      </c>
      <c r="C236" s="170"/>
      <c r="D236" s="172">
        <f>'Results &amp; Common Inputs'!D37</f>
        <v>0.3</v>
      </c>
      <c r="E236" s="172">
        <f>'Results &amp; Common Inputs'!E37</f>
        <v>0.3</v>
      </c>
      <c r="F236" s="172">
        <f>'Results &amp; Common Inputs'!F37</f>
        <v>0.3</v>
      </c>
      <c r="G236" s="172">
        <f>'Results &amp; Common Inputs'!G37</f>
        <v>0.3</v>
      </c>
      <c r="H236" s="172">
        <f>'Results &amp; Common Inputs'!H37</f>
        <v>0.3</v>
      </c>
      <c r="I236" s="172">
        <f>'Results &amp; Common Inputs'!I37</f>
        <v>0.3</v>
      </c>
      <c r="J236" s="172">
        <f>'Results &amp; Common Inputs'!J37</f>
        <v>0.3</v>
      </c>
      <c r="K236" s="172">
        <f>'Results &amp; Common Inputs'!K37</f>
        <v>0.3</v>
      </c>
      <c r="L236" s="172">
        <f>'Results &amp; Common Inputs'!L37</f>
        <v>0.3</v>
      </c>
      <c r="M236" s="172">
        <f>'Results &amp; Common Inputs'!M37</f>
        <v>0.3</v>
      </c>
    </row>
    <row r="237" spans="1:13" s="35" customFormat="1" x14ac:dyDescent="0.3">
      <c r="A237" s="34" t="s">
        <v>68</v>
      </c>
      <c r="B237" s="17" t="s">
        <v>124</v>
      </c>
      <c r="C237" s="32">
        <f>SUM(D237:M237)</f>
        <v>21834.652026391312</v>
      </c>
      <c r="D237" s="32">
        <f>D234*D236</f>
        <v>0</v>
      </c>
      <c r="E237" s="32">
        <f t="shared" ref="E237:M237" si="79">E234*E236</f>
        <v>0</v>
      </c>
      <c r="F237" s="32">
        <f t="shared" si="79"/>
        <v>-1197</v>
      </c>
      <c r="G237" s="32">
        <f t="shared" si="79"/>
        <v>-3514.0163011039913</v>
      </c>
      <c r="H237" s="32">
        <f t="shared" si="79"/>
        <v>8447.5591547503846</v>
      </c>
      <c r="I237" s="32">
        <f t="shared" si="79"/>
        <v>12048.501336792544</v>
      </c>
      <c r="J237" s="32">
        <f t="shared" si="79"/>
        <v>10784.971462498359</v>
      </c>
      <c r="K237" s="32">
        <f t="shared" si="79"/>
        <v>10653.748085793033</v>
      </c>
      <c r="L237" s="32">
        <f t="shared" si="79"/>
        <v>-3389.111712339025</v>
      </c>
      <c r="M237" s="32">
        <f t="shared" si="79"/>
        <v>-12000</v>
      </c>
    </row>
    <row r="238" spans="1:13" s="35" customFormat="1" ht="7.75" customHeight="1" x14ac:dyDescent="0.3">
      <c r="C238" s="33"/>
      <c r="D238" s="33"/>
      <c r="E238" s="33"/>
      <c r="F238" s="33"/>
      <c r="G238" s="33"/>
      <c r="H238" s="33"/>
      <c r="I238" s="33"/>
      <c r="J238" s="33"/>
      <c r="K238" s="33"/>
      <c r="L238" s="33"/>
      <c r="M238" s="33"/>
    </row>
    <row r="239" spans="1:13" x14ac:dyDescent="0.3">
      <c r="A239" s="92" t="s">
        <v>231</v>
      </c>
      <c r="B239" s="18"/>
      <c r="D239" s="21"/>
      <c r="E239" s="21"/>
      <c r="F239" s="21"/>
      <c r="G239" s="21"/>
      <c r="H239" s="21"/>
      <c r="I239" s="21"/>
      <c r="J239" s="21"/>
      <c r="K239" s="21"/>
      <c r="L239" s="21"/>
      <c r="M239" s="21"/>
    </row>
    <row r="240" spans="1:13" s="35" customFormat="1" ht="14.5" x14ac:dyDescent="0.35">
      <c r="A240" s="35" t="s">
        <v>69</v>
      </c>
      <c r="B240" s="17" t="s">
        <v>124</v>
      </c>
      <c r="C240" s="33"/>
      <c r="D240" s="174">
        <v>0</v>
      </c>
      <c r="E240" s="33">
        <f>D242</f>
        <v>0</v>
      </c>
      <c r="F240" s="33">
        <f t="shared" ref="F240:M240" si="80">E242</f>
        <v>0</v>
      </c>
      <c r="G240" s="33">
        <f t="shared" si="80"/>
        <v>-1197</v>
      </c>
      <c r="H240" s="33">
        <f t="shared" si="80"/>
        <v>-4711.0163011039913</v>
      </c>
      <c r="I240" s="33">
        <f t="shared" si="80"/>
        <v>0</v>
      </c>
      <c r="J240" s="33">
        <f t="shared" si="80"/>
        <v>0</v>
      </c>
      <c r="K240" s="33">
        <f t="shared" si="80"/>
        <v>0</v>
      </c>
      <c r="L240" s="33">
        <f t="shared" si="80"/>
        <v>0</v>
      </c>
      <c r="M240" s="33">
        <f t="shared" si="80"/>
        <v>-3389.111712339025</v>
      </c>
    </row>
    <row r="241" spans="1:13" s="35" customFormat="1" x14ac:dyDescent="0.3">
      <c r="A241" s="34" t="s">
        <v>33</v>
      </c>
      <c r="B241" s="17" t="s">
        <v>124</v>
      </c>
      <c r="C241" s="32">
        <f>SUM(D241:M241)</f>
        <v>37223.763738730333</v>
      </c>
      <c r="D241" s="79">
        <f t="shared" ref="D241:M241" si="81">IF(D237+D240&lt;0,0,D237+D240)</f>
        <v>0</v>
      </c>
      <c r="E241" s="79">
        <f>IF(E237+E240&lt;0,0,E237+E240)</f>
        <v>0</v>
      </c>
      <c r="F241" s="79">
        <f t="shared" si="81"/>
        <v>0</v>
      </c>
      <c r="G241" s="79">
        <f t="shared" si="81"/>
        <v>0</v>
      </c>
      <c r="H241" s="79">
        <f t="shared" si="81"/>
        <v>3736.5428536463933</v>
      </c>
      <c r="I241" s="79">
        <f t="shared" si="81"/>
        <v>12048.501336792544</v>
      </c>
      <c r="J241" s="79">
        <f t="shared" si="81"/>
        <v>10784.971462498359</v>
      </c>
      <c r="K241" s="79">
        <f t="shared" si="81"/>
        <v>10653.748085793033</v>
      </c>
      <c r="L241" s="79">
        <f t="shared" si="81"/>
        <v>0</v>
      </c>
      <c r="M241" s="79">
        <f t="shared" si="81"/>
        <v>0</v>
      </c>
    </row>
    <row r="242" spans="1:13" s="35" customFormat="1" x14ac:dyDescent="0.3">
      <c r="A242" s="35" t="s">
        <v>232</v>
      </c>
      <c r="B242" s="17" t="s">
        <v>124</v>
      </c>
      <c r="C242" s="33"/>
      <c r="D242" s="33">
        <f t="shared" ref="D242:M242" si="82">D237+D240-D241</f>
        <v>0</v>
      </c>
      <c r="E242" s="33">
        <f t="shared" si="82"/>
        <v>0</v>
      </c>
      <c r="F242" s="33">
        <f t="shared" si="82"/>
        <v>-1197</v>
      </c>
      <c r="G242" s="33">
        <f t="shared" si="82"/>
        <v>-4711.0163011039913</v>
      </c>
      <c r="H242" s="33">
        <f t="shared" si="82"/>
        <v>0</v>
      </c>
      <c r="I242" s="33">
        <f t="shared" si="82"/>
        <v>0</v>
      </c>
      <c r="J242" s="33">
        <f t="shared" si="82"/>
        <v>0</v>
      </c>
      <c r="K242" s="33">
        <f t="shared" si="82"/>
        <v>0</v>
      </c>
      <c r="L242" s="33">
        <f t="shared" si="82"/>
        <v>-3389.111712339025</v>
      </c>
      <c r="M242" s="33">
        <f t="shared" si="82"/>
        <v>-15389.111712339025</v>
      </c>
    </row>
    <row r="243" spans="1:13" s="58" customFormat="1" x14ac:dyDescent="0.3">
      <c r="A243" s="58" t="s">
        <v>233</v>
      </c>
      <c r="C243" s="59"/>
      <c r="D243" s="59"/>
      <c r="E243" s="59"/>
      <c r="F243" s="59"/>
      <c r="G243" s="59"/>
      <c r="H243" s="59"/>
      <c r="I243" s="59"/>
      <c r="J243" s="59"/>
      <c r="K243" s="59"/>
      <c r="L243" s="59"/>
      <c r="M243" s="59"/>
    </row>
    <row r="244" spans="1:13" ht="15.5" x14ac:dyDescent="0.35">
      <c r="A244" s="107" t="s">
        <v>75</v>
      </c>
      <c r="B244" s="17" t="s">
        <v>124</v>
      </c>
      <c r="C244" s="155">
        <f>SUM(D244:M244)</f>
        <v>51487.172098858951</v>
      </c>
      <c r="D244" s="108">
        <f t="shared" ref="D244:F244" si="83">D219+D241</f>
        <v>0</v>
      </c>
      <c r="E244" s="108">
        <f t="shared" si="83"/>
        <v>0</v>
      </c>
      <c r="F244" s="108">
        <f t="shared" si="83"/>
        <v>0</v>
      </c>
      <c r="G244" s="108">
        <f>G219+G241</f>
        <v>1275.2244874448988</v>
      </c>
      <c r="H244" s="108">
        <f t="shared" ref="H244:M244" si="84">H219+H241</f>
        <v>6460.032463626776</v>
      </c>
      <c r="I244" s="108">
        <f t="shared" si="84"/>
        <v>15107.29316030621</v>
      </c>
      <c r="J244" s="108">
        <f t="shared" si="84"/>
        <v>13607.458358503292</v>
      </c>
      <c r="K244" s="108">
        <f t="shared" si="84"/>
        <v>13425.147595854394</v>
      </c>
      <c r="L244" s="108">
        <f t="shared" si="84"/>
        <v>1612.0160331233758</v>
      </c>
      <c r="M244" s="108">
        <f t="shared" si="84"/>
        <v>0</v>
      </c>
    </row>
    <row r="245" spans="1:13" x14ac:dyDescent="0.3">
      <c r="A245" s="18"/>
      <c r="B245" s="18"/>
      <c r="D245" s="21"/>
      <c r="E245" s="21"/>
      <c r="F245" s="21"/>
      <c r="G245" s="21"/>
      <c r="H245" s="21"/>
      <c r="I245" s="21"/>
      <c r="J245" s="21"/>
      <c r="K245" s="21"/>
      <c r="L245" s="21"/>
      <c r="M245" s="21"/>
    </row>
    <row r="246" spans="1:13" s="183" customFormat="1" ht="33.5" customHeight="1" x14ac:dyDescent="0.35">
      <c r="A246" s="180" t="str">
        <f>'Results &amp; Common Inputs'!A$28</f>
        <v>Life of Business</v>
      </c>
      <c r="B246" s="180" t="str">
        <f>'Results &amp; Common Inputs'!B$28</f>
        <v>units</v>
      </c>
      <c r="C246" s="181" t="str">
        <f>'Results &amp; Common Inputs'!C$28</f>
        <v>Total</v>
      </c>
      <c r="D246" s="182">
        <f>'Results &amp; Common Inputs'!D$28</f>
        <v>2026</v>
      </c>
      <c r="E246" s="182">
        <f>'Results &amp; Common Inputs'!E$28</f>
        <v>2027</v>
      </c>
      <c r="F246" s="182">
        <f>'Results &amp; Common Inputs'!F$28</f>
        <v>2028</v>
      </c>
      <c r="G246" s="182">
        <f>'Results &amp; Common Inputs'!G$28</f>
        <v>2029</v>
      </c>
      <c r="H246" s="182">
        <f>'Results &amp; Common Inputs'!H$28</f>
        <v>2030</v>
      </c>
      <c r="I246" s="182">
        <f>'Results &amp; Common Inputs'!I$28</f>
        <v>2031</v>
      </c>
      <c r="J246" s="182">
        <f>'Results &amp; Common Inputs'!J$28</f>
        <v>2032</v>
      </c>
      <c r="K246" s="182">
        <f>'Results &amp; Common Inputs'!K$28</f>
        <v>2033</v>
      </c>
      <c r="L246" s="182">
        <f>'Results &amp; Common Inputs'!L$28</f>
        <v>2034</v>
      </c>
      <c r="M246" s="182">
        <f>'Results &amp; Common Inputs'!M$28</f>
        <v>2035</v>
      </c>
    </row>
    <row r="247" spans="1:13" s="176" customFormat="1" ht="43.75" customHeight="1" x14ac:dyDescent="0.35">
      <c r="A247" s="175" t="s">
        <v>251</v>
      </c>
      <c r="C247" s="177"/>
      <c r="D247" s="177"/>
      <c r="E247" s="177"/>
      <c r="F247" s="177"/>
      <c r="G247" s="177"/>
      <c r="H247" s="177"/>
      <c r="I247" s="177"/>
      <c r="J247" s="177"/>
      <c r="K247" s="177"/>
      <c r="L247" s="177"/>
      <c r="M247" s="177"/>
    </row>
    <row r="248" spans="1:13" x14ac:dyDescent="0.3">
      <c r="A248" s="31" t="s">
        <v>40</v>
      </c>
      <c r="B248" s="18"/>
      <c r="D248" s="21"/>
      <c r="E248" s="21"/>
      <c r="F248" s="21"/>
      <c r="G248" s="21"/>
      <c r="H248" s="21"/>
      <c r="I248" s="21"/>
      <c r="J248" s="21"/>
      <c r="K248" s="21"/>
      <c r="L248" s="21"/>
      <c r="M248" s="21"/>
    </row>
    <row r="249" spans="1:13" s="35" customFormat="1" x14ac:dyDescent="0.3">
      <c r="A249" s="35" t="str">
        <f>A$88</f>
        <v>Cashstream 1: Revenue - Base Case</v>
      </c>
      <c r="B249" s="35" t="str">
        <f>B$88</f>
        <v>US$ 000 Real</v>
      </c>
      <c r="C249" s="33">
        <f t="shared" ref="C249" si="85">SUM(D249:M249)</f>
        <v>475446.94533762056</v>
      </c>
      <c r="D249" s="33">
        <f t="shared" ref="D249:M249" si="86">D$88</f>
        <v>0</v>
      </c>
      <c r="E249" s="33">
        <f t="shared" si="86"/>
        <v>0</v>
      </c>
      <c r="F249" s="33">
        <f t="shared" si="86"/>
        <v>0</v>
      </c>
      <c r="G249" s="33">
        <f t="shared" si="86"/>
        <v>42507.482914829961</v>
      </c>
      <c r="H249" s="33">
        <f t="shared" si="86"/>
        <v>90782.986999346074</v>
      </c>
      <c r="I249" s="33">
        <f t="shared" si="86"/>
        <v>101959.72745045557</v>
      </c>
      <c r="J249" s="33">
        <f t="shared" si="86"/>
        <v>94082.896533497769</v>
      </c>
      <c r="K249" s="33">
        <f t="shared" si="86"/>
        <v>92379.983668712026</v>
      </c>
      <c r="L249" s="33">
        <f t="shared" si="86"/>
        <v>53733.867770779194</v>
      </c>
      <c r="M249" s="33">
        <f t="shared" si="86"/>
        <v>0</v>
      </c>
    </row>
    <row r="250" spans="1:13" s="39" customFormat="1" x14ac:dyDescent="0.3">
      <c r="A250" s="39" t="str">
        <f>A113</f>
        <v>Cashstream 2: Capital Costs - Base Case</v>
      </c>
      <c r="B250" s="39" t="str">
        <f>B113</f>
        <v>US$ 000 Real</v>
      </c>
      <c r="C250" s="50">
        <f>SUM(D250:M250)</f>
        <v>100700</v>
      </c>
      <c r="D250" s="50">
        <f t="shared" ref="D250:M250" si="87">D113</f>
        <v>4500</v>
      </c>
      <c r="E250" s="50">
        <f t="shared" si="87"/>
        <v>31000</v>
      </c>
      <c r="F250" s="50">
        <f t="shared" si="87"/>
        <v>26500</v>
      </c>
      <c r="G250" s="50">
        <f t="shared" si="87"/>
        <v>6200</v>
      </c>
      <c r="H250" s="50">
        <f t="shared" si="87"/>
        <v>6200</v>
      </c>
      <c r="I250" s="50">
        <f t="shared" si="87"/>
        <v>7700</v>
      </c>
      <c r="J250" s="50">
        <f t="shared" si="87"/>
        <v>6200</v>
      </c>
      <c r="K250" s="50">
        <f t="shared" si="87"/>
        <v>6200</v>
      </c>
      <c r="L250" s="50">
        <f t="shared" si="87"/>
        <v>6200</v>
      </c>
      <c r="M250" s="50">
        <f t="shared" si="87"/>
        <v>0</v>
      </c>
    </row>
    <row r="251" spans="1:13" s="39" customFormat="1" x14ac:dyDescent="0.3">
      <c r="A251" s="39" t="str">
        <f>A206</f>
        <v>Cashstream 3: Operating Costs - Base Case</v>
      </c>
      <c r="B251" s="39" t="str">
        <f>B206</f>
        <v>US$ 000 Real</v>
      </c>
      <c r="C251" s="50">
        <f>SUM(D251:M251)</f>
        <v>293312.49517684884</v>
      </c>
      <c r="D251" s="50">
        <f>D206</f>
        <v>0</v>
      </c>
      <c r="E251" s="50">
        <f t="shared" ref="E251:F251" si="88">E206</f>
        <v>0</v>
      </c>
      <c r="F251" s="50">
        <f t="shared" si="88"/>
        <v>3990</v>
      </c>
      <c r="G251" s="50">
        <f t="shared" ref="G251:M251" si="89">G206</f>
        <v>36388.578263123476</v>
      </c>
      <c r="H251" s="50">
        <f t="shared" si="89"/>
        <v>46176.652289260317</v>
      </c>
      <c r="I251" s="50">
        <f t="shared" si="89"/>
        <v>46722.856721748059</v>
      </c>
      <c r="J251" s="50">
        <f t="shared" si="89"/>
        <v>44924.910804739462</v>
      </c>
      <c r="K251" s="50">
        <f t="shared" si="89"/>
        <v>44909.62439392964</v>
      </c>
      <c r="L251" s="50">
        <f t="shared" si="89"/>
        <v>30199.872704047921</v>
      </c>
      <c r="M251" s="50">
        <f t="shared" si="89"/>
        <v>40000</v>
      </c>
    </row>
    <row r="252" spans="1:13" s="39" customFormat="1" x14ac:dyDescent="0.3">
      <c r="A252" s="39" t="str">
        <f>A244</f>
        <v>Cashstream 4: Taxes - Base Case</v>
      </c>
      <c r="B252" s="39" t="str">
        <f>B244</f>
        <v>US$ 000 Real</v>
      </c>
      <c r="C252" s="50">
        <f>SUM(D252:M252)</f>
        <v>51487.172098858951</v>
      </c>
      <c r="D252" s="50">
        <f t="shared" ref="D252:M252" si="90">D244</f>
        <v>0</v>
      </c>
      <c r="E252" s="50">
        <f t="shared" si="90"/>
        <v>0</v>
      </c>
      <c r="F252" s="50">
        <f t="shared" si="90"/>
        <v>0</v>
      </c>
      <c r="G252" s="50">
        <f t="shared" si="90"/>
        <v>1275.2244874448988</v>
      </c>
      <c r="H252" s="50">
        <f t="shared" si="90"/>
        <v>6460.032463626776</v>
      </c>
      <c r="I252" s="50">
        <f t="shared" si="90"/>
        <v>15107.29316030621</v>
      </c>
      <c r="J252" s="50">
        <f t="shared" si="90"/>
        <v>13607.458358503292</v>
      </c>
      <c r="K252" s="50">
        <f t="shared" si="90"/>
        <v>13425.147595854394</v>
      </c>
      <c r="L252" s="50">
        <f t="shared" si="90"/>
        <v>1612.0160331233758</v>
      </c>
      <c r="M252" s="50">
        <f t="shared" si="90"/>
        <v>0</v>
      </c>
    </row>
    <row r="253" spans="1:13" ht="16" thickBot="1" x14ac:dyDescent="0.4">
      <c r="A253" s="107" t="s">
        <v>249</v>
      </c>
      <c r="B253" s="17" t="s">
        <v>124</v>
      </c>
      <c r="C253" s="155">
        <f>SUM(D253:M253)</f>
        <v>29947.278061912773</v>
      </c>
      <c r="D253" s="108">
        <f t="shared" ref="D253:M253" si="91">D249-SUM(D250:D252)</f>
        <v>-4500</v>
      </c>
      <c r="E253" s="108">
        <f t="shared" si="91"/>
        <v>-31000</v>
      </c>
      <c r="F253" s="108">
        <f t="shared" si="91"/>
        <v>-30490</v>
      </c>
      <c r="G253" s="108">
        <f t="shared" si="91"/>
        <v>-1356.3198357384099</v>
      </c>
      <c r="H253" s="108">
        <f>H249-SUM(H250:H252)</f>
        <v>31946.302246458981</v>
      </c>
      <c r="I253" s="108">
        <f t="shared" si="91"/>
        <v>32429.577568401292</v>
      </c>
      <c r="J253" s="108">
        <f t="shared" si="91"/>
        <v>29350.527370255018</v>
      </c>
      <c r="K253" s="108">
        <f t="shared" si="91"/>
        <v>27845.21167892799</v>
      </c>
      <c r="L253" s="108">
        <f t="shared" si="91"/>
        <v>15721.979033607895</v>
      </c>
      <c r="M253" s="108">
        <f t="shared" si="91"/>
        <v>-40000</v>
      </c>
    </row>
    <row r="254" spans="1:13" s="39" customFormat="1" ht="13.5" thickBot="1" x14ac:dyDescent="0.35">
      <c r="A254" s="39" t="s">
        <v>250</v>
      </c>
      <c r="B254" s="39" t="s">
        <v>129</v>
      </c>
      <c r="C254" s="50"/>
      <c r="D254" s="53">
        <f>D253</f>
        <v>-4500</v>
      </c>
      <c r="E254" s="50">
        <f>D254+E253</f>
        <v>-35500</v>
      </c>
      <c r="F254" s="50">
        <f t="shared" ref="F254" si="92">E254+F253</f>
        <v>-65990</v>
      </c>
      <c r="G254" s="50">
        <f t="shared" ref="G254" si="93">F254+G253</f>
        <v>-67346.31983573841</v>
      </c>
      <c r="H254" s="50">
        <f t="shared" ref="H254" si="94">G254+H253</f>
        <v>-35400.017589279429</v>
      </c>
      <c r="I254" s="50">
        <f t="shared" ref="I254" si="95">H254+I253</f>
        <v>-2970.4400208781371</v>
      </c>
      <c r="J254" s="50">
        <f t="shared" ref="J254" si="96">I254+J253</f>
        <v>26380.087349376881</v>
      </c>
      <c r="K254" s="50">
        <f t="shared" ref="K254" si="97">J254+K253</f>
        <v>54225.299028304871</v>
      </c>
      <c r="L254" s="50">
        <f t="shared" ref="L254" si="98">K254+L253</f>
        <v>69947.278061912773</v>
      </c>
      <c r="M254" s="50">
        <f t="shared" ref="M254" si="99">L254+M253</f>
        <v>29947.278061912773</v>
      </c>
    </row>
    <row r="255" spans="1:13" s="61" customFormat="1" ht="38" customHeight="1" x14ac:dyDescent="0.3">
      <c r="A255" s="31" t="s">
        <v>234</v>
      </c>
      <c r="C255" s="62"/>
      <c r="D255" s="62"/>
      <c r="E255" s="62"/>
      <c r="F255" s="62"/>
      <c r="G255" s="62"/>
      <c r="H255" s="62"/>
      <c r="I255" s="62"/>
      <c r="J255" s="62"/>
      <c r="K255" s="62"/>
      <c r="L255" s="62"/>
      <c r="M255" s="62"/>
    </row>
    <row r="256" spans="1:13" ht="18.5" x14ac:dyDescent="0.45">
      <c r="A256" s="178" t="s">
        <v>76</v>
      </c>
      <c r="C256" s="179">
        <f>IRR(D253:M253,5%)</f>
        <v>0.12379299654142795</v>
      </c>
      <c r="D256" s="21"/>
      <c r="E256" s="21"/>
      <c r="F256" s="21"/>
      <c r="G256" s="21"/>
      <c r="H256" s="21"/>
      <c r="I256" s="21"/>
      <c r="J256" s="21"/>
      <c r="K256" s="21"/>
      <c r="L256" s="21"/>
      <c r="M256" s="21"/>
    </row>
    <row r="257" spans="1:13" s="61" customFormat="1" ht="38" customHeight="1" x14ac:dyDescent="0.3">
      <c r="A257" s="31" t="s">
        <v>238</v>
      </c>
      <c r="C257" s="62"/>
      <c r="D257" s="62"/>
      <c r="E257" s="62"/>
      <c r="F257" s="62"/>
      <c r="G257" s="62"/>
      <c r="H257" s="62"/>
      <c r="I257" s="62"/>
      <c r="J257" s="62"/>
      <c r="K257" s="62"/>
      <c r="L257" s="62"/>
      <c r="M257" s="62"/>
    </row>
    <row r="258" spans="1:13" x14ac:dyDescent="0.3">
      <c r="A258" s="58" t="s">
        <v>235</v>
      </c>
      <c r="B258" s="18"/>
      <c r="D258" s="21"/>
      <c r="E258" s="21"/>
      <c r="F258" s="21"/>
      <c r="G258" s="21"/>
      <c r="H258" s="21"/>
      <c r="I258" s="21"/>
      <c r="J258" s="21"/>
      <c r="K258" s="21"/>
      <c r="L258" s="21"/>
      <c r="M258" s="21"/>
    </row>
    <row r="259" spans="1:13" x14ac:dyDescent="0.3">
      <c r="A259" s="58" t="s">
        <v>236</v>
      </c>
      <c r="B259" s="18"/>
      <c r="D259" s="21"/>
      <c r="E259" s="21"/>
      <c r="F259" s="21"/>
      <c r="G259" s="21"/>
      <c r="H259" s="21"/>
      <c r="I259" s="21"/>
      <c r="J259" s="21"/>
      <c r="K259" s="21"/>
      <c r="L259" s="21"/>
      <c r="M259" s="21"/>
    </row>
    <row r="260" spans="1:13" x14ac:dyDescent="0.3">
      <c r="A260" s="92" t="s">
        <v>189</v>
      </c>
      <c r="B260" s="18"/>
      <c r="D260" s="21"/>
      <c r="E260" s="21"/>
      <c r="F260" s="21"/>
      <c r="G260" s="21"/>
      <c r="H260" s="21"/>
      <c r="I260" s="21"/>
      <c r="J260" s="21"/>
      <c r="K260" s="21"/>
      <c r="L260" s="21"/>
      <c r="M260" s="21"/>
    </row>
    <row r="261" spans="1:13" s="173" customFormat="1" ht="13.5" thickBot="1" x14ac:dyDescent="0.35">
      <c r="A261" s="170" t="str">
        <f>'Results &amp; Common Inputs'!A45</f>
        <v>Discount Rate - gold industry adjusted for the Company</v>
      </c>
      <c r="B261" s="170" t="str">
        <f>'Results &amp; Common Inputs'!B45</f>
        <v>% Real</v>
      </c>
      <c r="C261" s="170"/>
      <c r="D261" s="172">
        <f>'Results &amp; Common Inputs'!D45</f>
        <v>0.08</v>
      </c>
      <c r="E261" s="172">
        <f>'Results &amp; Common Inputs'!E45</f>
        <v>0.08</v>
      </c>
      <c r="F261" s="172">
        <f>'Results &amp; Common Inputs'!F45</f>
        <v>0.08</v>
      </c>
      <c r="G261" s="172">
        <f>'Results &amp; Common Inputs'!G45</f>
        <v>0.08</v>
      </c>
      <c r="H261" s="172">
        <f>'Results &amp; Common Inputs'!H45</f>
        <v>0.08</v>
      </c>
      <c r="I261" s="172">
        <f>'Results &amp; Common Inputs'!I45</f>
        <v>0.08</v>
      </c>
      <c r="J261" s="172">
        <f>'Results &amp; Common Inputs'!J45</f>
        <v>0.08</v>
      </c>
      <c r="K261" s="172">
        <f>'Results &amp; Common Inputs'!K45</f>
        <v>0.08</v>
      </c>
      <c r="L261" s="172">
        <f>'Results &amp; Common Inputs'!L45</f>
        <v>0.08</v>
      </c>
      <c r="M261" s="172">
        <f>'Results &amp; Common Inputs'!M45</f>
        <v>0.08</v>
      </c>
    </row>
    <row r="262" spans="1:13" ht="13.5" thickBot="1" x14ac:dyDescent="0.35">
      <c r="A262" s="17" t="s">
        <v>34</v>
      </c>
      <c r="C262" s="11"/>
      <c r="D262" s="54">
        <f>1/(1+D261)^0.5</f>
        <v>0.96225044864937614</v>
      </c>
      <c r="E262" s="55">
        <f>D262/(1+E261)</f>
        <v>0.89097263763831114</v>
      </c>
      <c r="F262" s="55">
        <f>E262/(1+F261)</f>
        <v>0.82497466447991763</v>
      </c>
      <c r="G262" s="55">
        <f t="shared" ref="G262:M262" si="100">F262/(1+G261)</f>
        <v>0.76386543007399776</v>
      </c>
      <c r="H262" s="55">
        <f t="shared" si="100"/>
        <v>0.70728280562407198</v>
      </c>
      <c r="I262" s="55">
        <f t="shared" si="100"/>
        <v>0.65489148668895547</v>
      </c>
      <c r="J262" s="55">
        <f t="shared" si="100"/>
        <v>0.60638100619347723</v>
      </c>
      <c r="K262" s="55">
        <f t="shared" si="100"/>
        <v>0.56146389462359003</v>
      </c>
      <c r="L262" s="55">
        <f t="shared" si="100"/>
        <v>0.51987397650332412</v>
      </c>
      <c r="M262" s="55">
        <f t="shared" si="100"/>
        <v>0.48136479305863339</v>
      </c>
    </row>
    <row r="263" spans="1:13" s="39" customFormat="1" ht="13.5" thickBot="1" x14ac:dyDescent="0.35">
      <c r="A263" s="38" t="s">
        <v>77</v>
      </c>
      <c r="B263" s="39" t="s">
        <v>129</v>
      </c>
      <c r="C263" s="40">
        <f>SUM(D263:M263)</f>
        <v>8043.6617596203942</v>
      </c>
      <c r="D263" s="40">
        <f t="shared" ref="D263:M263" si="101">D253*D262</f>
        <v>-4330.1270189221923</v>
      </c>
      <c r="E263" s="40">
        <f t="shared" si="101"/>
        <v>-27620.151766787647</v>
      </c>
      <c r="F263" s="40">
        <f t="shared" si="101"/>
        <v>-25153.477519992688</v>
      </c>
      <c r="G263" s="40">
        <f t="shared" si="101"/>
        <v>-1036.0458346442144</v>
      </c>
      <c r="H263" s="40">
        <f t="shared" si="101"/>
        <v>22595.070282190103</v>
      </c>
      <c r="I263" s="40">
        <f t="shared" si="101"/>
        <v>21237.854266465125</v>
      </c>
      <c r="J263" s="40">
        <f t="shared" si="101"/>
        <v>17797.602319084432</v>
      </c>
      <c r="K263" s="40">
        <f t="shared" si="101"/>
        <v>15634.080995869183</v>
      </c>
      <c r="L263" s="40">
        <f t="shared" si="101"/>
        <v>8173.4477587036254</v>
      </c>
      <c r="M263" s="40">
        <f t="shared" si="101"/>
        <v>-19254.591722345336</v>
      </c>
    </row>
    <row r="264" spans="1:13" s="39" customFormat="1" ht="13.5" thickBot="1" x14ac:dyDescent="0.35">
      <c r="A264" s="39" t="s">
        <v>78</v>
      </c>
      <c r="B264" s="39" t="s">
        <v>129</v>
      </c>
      <c r="C264" s="50"/>
      <c r="D264" s="53">
        <f>D263</f>
        <v>-4330.1270189221923</v>
      </c>
      <c r="E264" s="50">
        <f>D264+E263</f>
        <v>-31950.278785709837</v>
      </c>
      <c r="F264" s="50">
        <f t="shared" ref="F264:M264" si="102">E264+F263</f>
        <v>-57103.756305702525</v>
      </c>
      <c r="G264" s="50">
        <f t="shared" si="102"/>
        <v>-58139.802140346743</v>
      </c>
      <c r="H264" s="50">
        <f t="shared" si="102"/>
        <v>-35544.731858156636</v>
      </c>
      <c r="I264" s="50">
        <f t="shared" si="102"/>
        <v>-14306.877591691511</v>
      </c>
      <c r="J264" s="50">
        <f t="shared" si="102"/>
        <v>3490.7247273929206</v>
      </c>
      <c r="K264" s="50">
        <f t="shared" si="102"/>
        <v>19124.805723262103</v>
      </c>
      <c r="L264" s="50">
        <f t="shared" si="102"/>
        <v>27298.25348196573</v>
      </c>
      <c r="M264" s="50">
        <f t="shared" si="102"/>
        <v>8043.6617596203942</v>
      </c>
    </row>
    <row r="265" spans="1:13" s="39" customFormat="1" ht="15.5" x14ac:dyDescent="0.35">
      <c r="A265" s="52" t="s">
        <v>79</v>
      </c>
      <c r="B265" s="39" t="s">
        <v>129</v>
      </c>
      <c r="C265" s="51">
        <f>SUM(D263:M263)</f>
        <v>8043.6617596203942</v>
      </c>
      <c r="D265" s="40"/>
      <c r="E265" s="40"/>
      <c r="F265" s="40"/>
      <c r="G265" s="40"/>
      <c r="H265" s="40"/>
      <c r="I265" s="40"/>
      <c r="J265" s="40"/>
      <c r="K265" s="40"/>
      <c r="L265" s="40"/>
      <c r="M265" s="40"/>
    </row>
    <row r="266" spans="1:13" s="39" customFormat="1" ht="15.5" x14ac:dyDescent="0.35">
      <c r="A266" s="58" t="s">
        <v>237</v>
      </c>
      <c r="C266" s="51"/>
      <c r="D266" s="40"/>
      <c r="E266" s="40"/>
      <c r="F266" s="40"/>
      <c r="G266" s="40"/>
      <c r="H266" s="40"/>
      <c r="I266" s="40"/>
      <c r="J266" s="40"/>
      <c r="K266" s="40"/>
      <c r="L266" s="40"/>
      <c r="M266" s="40"/>
    </row>
    <row r="267" spans="1:13" s="39" customFormat="1" ht="15.5" x14ac:dyDescent="0.35">
      <c r="A267" s="58" t="s">
        <v>239</v>
      </c>
      <c r="C267" s="51"/>
      <c r="D267" s="40"/>
      <c r="E267" s="40"/>
      <c r="F267" s="40"/>
      <c r="G267" s="40"/>
      <c r="H267" s="40"/>
      <c r="I267" s="40"/>
      <c r="J267" s="40"/>
      <c r="K267" s="40"/>
      <c r="L267" s="40"/>
      <c r="M267" s="40"/>
    </row>
    <row r="268" spans="1:13" s="61" customFormat="1" ht="28.75" customHeight="1" x14ac:dyDescent="0.35">
      <c r="A268" s="28" t="s">
        <v>113</v>
      </c>
      <c r="C268" s="62"/>
      <c r="D268" s="62"/>
      <c r="E268" s="62"/>
      <c r="F268" s="62"/>
      <c r="G268" s="62"/>
      <c r="H268" s="62"/>
      <c r="I268" s="62"/>
      <c r="J268" s="62"/>
      <c r="K268" s="62"/>
      <c r="L268" s="62"/>
      <c r="M268" s="62"/>
    </row>
    <row r="269" spans="1:13" x14ac:dyDescent="0.3">
      <c r="A269" s="58" t="s">
        <v>136</v>
      </c>
      <c r="B269" s="18"/>
      <c r="D269" s="21"/>
      <c r="E269" s="21"/>
      <c r="F269" s="21"/>
      <c r="G269" s="21"/>
      <c r="H269" s="21"/>
      <c r="I269" s="21"/>
      <c r="J269" s="21"/>
      <c r="K269" s="21"/>
      <c r="L269" s="21"/>
      <c r="M269" s="21"/>
    </row>
    <row r="270" spans="1:13" s="48" customFormat="1" ht="15.5" x14ac:dyDescent="0.35">
      <c r="A270" s="188" t="s">
        <v>112</v>
      </c>
      <c r="B270" s="188"/>
      <c r="C270" s="189">
        <f>C265/C102</f>
        <v>0.12973647999387733</v>
      </c>
      <c r="D270" s="49"/>
      <c r="E270" s="49"/>
      <c r="F270" s="49"/>
      <c r="G270" s="49"/>
      <c r="H270" s="49"/>
      <c r="I270" s="49"/>
      <c r="J270" s="49"/>
      <c r="K270" s="49"/>
      <c r="L270" s="49"/>
      <c r="M270" s="49"/>
    </row>
    <row r="271" spans="1:13" s="48" customFormat="1" ht="15.5" x14ac:dyDescent="0.35">
      <c r="A271" s="188" t="s">
        <v>114</v>
      </c>
      <c r="B271" s="48" t="s">
        <v>115</v>
      </c>
      <c r="C271" s="51">
        <f>SUM(D271:M271)</f>
        <v>6</v>
      </c>
      <c r="D271" s="49">
        <f t="shared" ref="D271:M271" si="103">IF(D264&gt;0,0,1)</f>
        <v>1</v>
      </c>
      <c r="E271" s="49">
        <f t="shared" si="103"/>
        <v>1</v>
      </c>
      <c r="F271" s="49">
        <f t="shared" si="103"/>
        <v>1</v>
      </c>
      <c r="G271" s="49">
        <f t="shared" si="103"/>
        <v>1</v>
      </c>
      <c r="H271" s="49">
        <f t="shared" si="103"/>
        <v>1</v>
      </c>
      <c r="I271" s="49">
        <f t="shared" si="103"/>
        <v>1</v>
      </c>
      <c r="J271" s="49">
        <f t="shared" si="103"/>
        <v>0</v>
      </c>
      <c r="K271" s="49">
        <f t="shared" si="103"/>
        <v>0</v>
      </c>
      <c r="L271" s="49">
        <f t="shared" si="103"/>
        <v>0</v>
      </c>
      <c r="M271" s="49">
        <f t="shared" si="103"/>
        <v>0</v>
      </c>
    </row>
    <row r="273" spans="1:13" s="183" customFormat="1" ht="33.5" customHeight="1" x14ac:dyDescent="0.35">
      <c r="A273" s="180" t="str">
        <f>'Results &amp; Common Inputs'!A$28</f>
        <v>Life of Business</v>
      </c>
      <c r="B273" s="180" t="str">
        <f>'Results &amp; Common Inputs'!B$28</f>
        <v>units</v>
      </c>
      <c r="C273" s="181" t="str">
        <f>'Results &amp; Common Inputs'!C$28</f>
        <v>Total</v>
      </c>
      <c r="D273" s="182">
        <f>'Results &amp; Common Inputs'!D$28</f>
        <v>2026</v>
      </c>
      <c r="E273" s="182">
        <f>'Results &amp; Common Inputs'!E$28</f>
        <v>2027</v>
      </c>
      <c r="F273" s="182">
        <f>'Results &amp; Common Inputs'!F$28</f>
        <v>2028</v>
      </c>
      <c r="G273" s="182">
        <f>'Results &amp; Common Inputs'!G$28</f>
        <v>2029</v>
      </c>
      <c r="H273" s="182">
        <f>'Results &amp; Common Inputs'!H$28</f>
        <v>2030</v>
      </c>
      <c r="I273" s="182">
        <f>'Results &amp; Common Inputs'!I$28</f>
        <v>2031</v>
      </c>
      <c r="J273" s="182">
        <f>'Results &amp; Common Inputs'!J$28</f>
        <v>2032</v>
      </c>
      <c r="K273" s="182">
        <f>'Results &amp; Common Inputs'!K$28</f>
        <v>2033</v>
      </c>
      <c r="L273" s="182">
        <f>'Results &amp; Common Inputs'!L$28</f>
        <v>2034</v>
      </c>
      <c r="M273" s="182">
        <f>'Results &amp; Common Inputs'!M$28</f>
        <v>2035</v>
      </c>
    </row>
    <row r="274" spans="1:13" ht="114" customHeight="1" x14ac:dyDescent="0.3"/>
    <row r="275" spans="1:13" ht="31.75" customHeight="1" x14ac:dyDescent="0.3">
      <c r="A275" s="28" t="s">
        <v>137</v>
      </c>
    </row>
    <row r="276" spans="1:13" s="18" customFormat="1" x14ac:dyDescent="0.3">
      <c r="A276" s="81" t="str">
        <f>'Results &amp; Common Inputs'!A$28</f>
        <v>Life of Business</v>
      </c>
      <c r="B276" s="81" t="str">
        <f>'Results &amp; Common Inputs'!B$28</f>
        <v>units</v>
      </c>
      <c r="C276" s="82" t="str">
        <f>'Results &amp; Common Inputs'!C$28</f>
        <v>Total</v>
      </c>
      <c r="D276" s="20">
        <f>'Results &amp; Common Inputs'!D$28</f>
        <v>2026</v>
      </c>
      <c r="E276" s="20">
        <f>'Results &amp; Common Inputs'!E$28</f>
        <v>2027</v>
      </c>
      <c r="F276" s="20">
        <f>'Results &amp; Common Inputs'!F$28</f>
        <v>2028</v>
      </c>
      <c r="G276" s="20">
        <f>'Results &amp; Common Inputs'!G$28</f>
        <v>2029</v>
      </c>
      <c r="H276" s="20">
        <f>'Results &amp; Common Inputs'!H$28</f>
        <v>2030</v>
      </c>
      <c r="I276" s="20">
        <f>'Results &amp; Common Inputs'!I$28</f>
        <v>2031</v>
      </c>
      <c r="J276" s="20">
        <f>'Results &amp; Common Inputs'!J$28</f>
        <v>2032</v>
      </c>
      <c r="K276" s="20">
        <f>'Results &amp; Common Inputs'!K$28</f>
        <v>2033</v>
      </c>
      <c r="L276" s="20">
        <f>'Results &amp; Common Inputs'!L$28</f>
        <v>2034</v>
      </c>
      <c r="M276" s="20">
        <f>'Results &amp; Common Inputs'!M$28</f>
        <v>2035</v>
      </c>
    </row>
    <row r="277" spans="1:13" x14ac:dyDescent="0.3">
      <c r="A277" s="35" t="e">
        <f>#REF!</f>
        <v>#REF!</v>
      </c>
      <c r="B277" s="35" t="str">
        <f>B88</f>
        <v>US$ 000 Real</v>
      </c>
      <c r="D277" s="41">
        <f>D88</f>
        <v>0</v>
      </c>
      <c r="E277" s="41">
        <f>E88</f>
        <v>0</v>
      </c>
      <c r="F277" s="41">
        <f>F88</f>
        <v>0</v>
      </c>
      <c r="G277" s="41" t="e">
        <f>#REF!</f>
        <v>#REF!</v>
      </c>
      <c r="H277" s="41">
        <f t="shared" ref="H277:M277" si="104">H88</f>
        <v>90782.986999346074</v>
      </c>
      <c r="I277" s="41">
        <f t="shared" si="104"/>
        <v>101959.72745045557</v>
      </c>
      <c r="J277" s="41">
        <f t="shared" si="104"/>
        <v>94082.896533497769</v>
      </c>
      <c r="K277" s="41">
        <f t="shared" si="104"/>
        <v>92379.983668712026</v>
      </c>
      <c r="L277" s="41">
        <f t="shared" si="104"/>
        <v>53733.867770779194</v>
      </c>
      <c r="M277" s="41">
        <f t="shared" si="104"/>
        <v>0</v>
      </c>
    </row>
    <row r="278" spans="1:13" x14ac:dyDescent="0.3">
      <c r="A278" s="35" t="str">
        <f>A113</f>
        <v>Cashstream 2: Capital Costs - Base Case</v>
      </c>
      <c r="B278" s="35" t="str">
        <f>B113</f>
        <v>US$ 000 Real</v>
      </c>
      <c r="D278" s="41">
        <f t="shared" ref="D278:M278" si="105">-D113</f>
        <v>-4500</v>
      </c>
      <c r="E278" s="41">
        <f t="shared" si="105"/>
        <v>-31000</v>
      </c>
      <c r="F278" s="41">
        <f t="shared" si="105"/>
        <v>-26500</v>
      </c>
      <c r="G278" s="41">
        <f t="shared" si="105"/>
        <v>-6200</v>
      </c>
      <c r="H278" s="41">
        <f t="shared" si="105"/>
        <v>-6200</v>
      </c>
      <c r="I278" s="41">
        <f t="shared" si="105"/>
        <v>-7700</v>
      </c>
      <c r="J278" s="41">
        <f t="shared" si="105"/>
        <v>-6200</v>
      </c>
      <c r="K278" s="41">
        <f t="shared" si="105"/>
        <v>-6200</v>
      </c>
      <c r="L278" s="41">
        <f t="shared" si="105"/>
        <v>-6200</v>
      </c>
      <c r="M278" s="41">
        <f t="shared" si="105"/>
        <v>0</v>
      </c>
    </row>
    <row r="279" spans="1:13" x14ac:dyDescent="0.3">
      <c r="A279" s="35" t="str">
        <f>A206</f>
        <v>Cashstream 3: Operating Costs - Base Case</v>
      </c>
      <c r="B279" s="35" t="str">
        <f>B206</f>
        <v>US$ 000 Real</v>
      </c>
      <c r="C279" s="41" t="e">
        <f>SUM(D279:M279)</f>
        <v>#REF!</v>
      </c>
      <c r="D279" s="41">
        <f>-D206</f>
        <v>0</v>
      </c>
      <c r="E279" s="41">
        <f>-E206</f>
        <v>0</v>
      </c>
      <c r="F279" s="41" t="e">
        <f>-#REF!</f>
        <v>#REF!</v>
      </c>
      <c r="G279" s="41">
        <f t="shared" ref="G279:M279" si="106">-G206</f>
        <v>-36388.578263123476</v>
      </c>
      <c r="H279" s="41">
        <f t="shared" si="106"/>
        <v>-46176.652289260317</v>
      </c>
      <c r="I279" s="41">
        <f t="shared" si="106"/>
        <v>-46722.856721748059</v>
      </c>
      <c r="J279" s="41">
        <f t="shared" si="106"/>
        <v>-44924.910804739462</v>
      </c>
      <c r="K279" s="41">
        <f t="shared" si="106"/>
        <v>-44909.62439392964</v>
      </c>
      <c r="L279" s="41">
        <f t="shared" si="106"/>
        <v>-30199.872704047921</v>
      </c>
      <c r="M279" s="41">
        <f t="shared" si="106"/>
        <v>-40000</v>
      </c>
    </row>
    <row r="280" spans="1:13" x14ac:dyDescent="0.3">
      <c r="A280" s="35" t="str">
        <f>A244</f>
        <v>Cashstream 4: Taxes - Base Case</v>
      </c>
      <c r="B280" s="35" t="str">
        <f>B244</f>
        <v>US$ 000 Real</v>
      </c>
      <c r="D280" s="41">
        <f>-D244</f>
        <v>0</v>
      </c>
      <c r="E280" s="41">
        <f>-E244</f>
        <v>0</v>
      </c>
      <c r="F280" s="41">
        <f>-F244</f>
        <v>0</v>
      </c>
      <c r="G280" s="41" t="e">
        <f>-#REF!</f>
        <v>#REF!</v>
      </c>
      <c r="H280" s="41">
        <f t="shared" ref="H280:M280" si="107">-H244</f>
        <v>-6460.032463626776</v>
      </c>
      <c r="I280" s="41">
        <f t="shared" si="107"/>
        <v>-15107.29316030621</v>
      </c>
      <c r="J280" s="41">
        <f t="shared" si="107"/>
        <v>-13607.458358503292</v>
      </c>
      <c r="K280" s="41">
        <f t="shared" si="107"/>
        <v>-13425.147595854394</v>
      </c>
      <c r="L280" s="41">
        <f t="shared" si="107"/>
        <v>-1612.0160331233758</v>
      </c>
      <c r="M280" s="41">
        <f t="shared" si="107"/>
        <v>0</v>
      </c>
    </row>
    <row r="281" spans="1:13" x14ac:dyDescent="0.3">
      <c r="A281" s="17" t="s">
        <v>38</v>
      </c>
      <c r="B281" s="17" t="s">
        <v>38</v>
      </c>
      <c r="D281" s="41">
        <f>IF(SUM(D277:D280)&gt;0,SUM(D277:D280),0)</f>
        <v>0</v>
      </c>
      <c r="E281" s="41">
        <f t="shared" ref="E281:M281" si="108">IF(SUM(E277:E280)&gt;0,SUM(E277:E280),0)</f>
        <v>0</v>
      </c>
      <c r="F281" s="41" t="e">
        <f t="shared" si="108"/>
        <v>#REF!</v>
      </c>
      <c r="G281" s="41" t="e">
        <f t="shared" si="108"/>
        <v>#REF!</v>
      </c>
      <c r="H281" s="41">
        <f t="shared" si="108"/>
        <v>31946.302246458981</v>
      </c>
      <c r="I281" s="41">
        <f t="shared" si="108"/>
        <v>32429.577568401299</v>
      </c>
      <c r="J281" s="41">
        <f t="shared" si="108"/>
        <v>29350.527370255015</v>
      </c>
      <c r="K281" s="41">
        <f t="shared" si="108"/>
        <v>27845.21167892799</v>
      </c>
      <c r="L281" s="41">
        <f t="shared" si="108"/>
        <v>15721.979033607897</v>
      </c>
      <c r="M281" s="41">
        <f t="shared" si="108"/>
        <v>0</v>
      </c>
    </row>
    <row r="282" spans="1:13" x14ac:dyDescent="0.3">
      <c r="A282" s="17" t="s">
        <v>39</v>
      </c>
      <c r="B282" s="17" t="s">
        <v>39</v>
      </c>
      <c r="D282" s="41">
        <f>IF(SUM(D277:D280)&lt;0,-SUM(D277:D280),0)</f>
        <v>4500</v>
      </c>
      <c r="E282" s="41">
        <f t="shared" ref="E282:M282" si="109">IF(SUM(E277:E280)&lt;0,-SUM(E277:E280),0)</f>
        <v>31000</v>
      </c>
      <c r="F282" s="41" t="e">
        <f t="shared" si="109"/>
        <v>#REF!</v>
      </c>
      <c r="G282" s="41" t="e">
        <f t="shared" si="109"/>
        <v>#REF!</v>
      </c>
      <c r="H282" s="41">
        <f t="shared" si="109"/>
        <v>0</v>
      </c>
      <c r="I282" s="41">
        <f t="shared" si="109"/>
        <v>0</v>
      </c>
      <c r="J282" s="41">
        <f t="shared" si="109"/>
        <v>0</v>
      </c>
      <c r="K282" s="41">
        <f t="shared" si="109"/>
        <v>0</v>
      </c>
      <c r="L282" s="41">
        <f t="shared" si="109"/>
        <v>0</v>
      </c>
      <c r="M282" s="41">
        <f t="shared" si="109"/>
        <v>40000</v>
      </c>
    </row>
    <row r="283" spans="1:13" x14ac:dyDescent="0.3">
      <c r="A283" s="17" t="s">
        <v>41</v>
      </c>
      <c r="B283" s="17" t="s">
        <v>41</v>
      </c>
      <c r="D283" s="41">
        <f>D281-D282</f>
        <v>-4500</v>
      </c>
      <c r="E283" s="41">
        <f t="shared" ref="E283:M283" si="110">E281-E282</f>
        <v>-31000</v>
      </c>
      <c r="F283" s="41" t="e">
        <f t="shared" si="110"/>
        <v>#REF!</v>
      </c>
      <c r="G283" s="41" t="e">
        <f t="shared" si="110"/>
        <v>#REF!</v>
      </c>
      <c r="H283" s="41">
        <f t="shared" si="110"/>
        <v>31946.302246458981</v>
      </c>
      <c r="I283" s="41">
        <f t="shared" si="110"/>
        <v>32429.577568401299</v>
      </c>
      <c r="J283" s="41">
        <f t="shared" si="110"/>
        <v>29350.527370255015</v>
      </c>
      <c r="K283" s="41">
        <f t="shared" si="110"/>
        <v>27845.21167892799</v>
      </c>
      <c r="L283" s="41">
        <f t="shared" si="110"/>
        <v>15721.979033607897</v>
      </c>
      <c r="M283" s="41">
        <f t="shared" si="110"/>
        <v>-40000</v>
      </c>
    </row>
    <row r="284" spans="1:13" x14ac:dyDescent="0.3">
      <c r="A284" s="42"/>
      <c r="B284" s="42"/>
      <c r="C284" s="43"/>
      <c r="D284" s="44"/>
      <c r="E284" s="44"/>
      <c r="F284" s="44"/>
      <c r="G284" s="43"/>
      <c r="H284" s="43"/>
      <c r="I284" s="43"/>
      <c r="J284" s="43"/>
      <c r="K284" s="43"/>
      <c r="L284" s="43"/>
      <c r="M284" s="43"/>
    </row>
    <row r="345" spans="1:28" x14ac:dyDescent="0.3">
      <c r="A345" s="31" t="s">
        <v>16</v>
      </c>
    </row>
    <row r="346" spans="1:28" x14ac:dyDescent="0.3">
      <c r="A346" s="17" t="s">
        <v>17</v>
      </c>
    </row>
    <row r="347" spans="1:28" x14ac:dyDescent="0.3">
      <c r="A347" s="45" t="s">
        <v>135</v>
      </c>
      <c r="B347" s="46" t="s">
        <v>45</v>
      </c>
      <c r="C347" s="47">
        <v>0.36</v>
      </c>
      <c r="D347" s="47">
        <v>0.36</v>
      </c>
      <c r="E347" s="47">
        <v>0.36</v>
      </c>
      <c r="F347" s="47">
        <v>0.36</v>
      </c>
      <c r="G347" s="47">
        <v>0.36</v>
      </c>
      <c r="H347" s="47">
        <v>0.36</v>
      </c>
      <c r="I347" s="47">
        <v>0.36</v>
      </c>
      <c r="J347" s="47">
        <v>0.36</v>
      </c>
      <c r="K347" s="47">
        <v>0.36</v>
      </c>
      <c r="L347" s="47">
        <v>0.36</v>
      </c>
      <c r="M347" s="47">
        <v>0.36</v>
      </c>
      <c r="N347" s="47">
        <v>0.36</v>
      </c>
      <c r="O347" s="47">
        <v>0.36</v>
      </c>
      <c r="P347" s="47">
        <v>0.36</v>
      </c>
      <c r="Q347" s="47">
        <v>0.36</v>
      </c>
      <c r="R347" s="47">
        <v>0.36</v>
      </c>
      <c r="S347" s="47">
        <v>0.36</v>
      </c>
      <c r="T347" s="47">
        <v>0.36</v>
      </c>
      <c r="U347" s="47">
        <v>0.36</v>
      </c>
      <c r="V347" s="47">
        <v>0.36</v>
      </c>
      <c r="W347" s="47">
        <v>0.36</v>
      </c>
      <c r="X347" s="47">
        <v>0.36</v>
      </c>
      <c r="Y347" s="47">
        <v>0.36</v>
      </c>
      <c r="Z347" s="47">
        <v>0.36</v>
      </c>
      <c r="AA347" s="47">
        <v>0.36</v>
      </c>
      <c r="AB347" s="47">
        <v>0.36</v>
      </c>
    </row>
  </sheetData>
  <pageMargins left="0.70866141732283472" right="0.70866141732283472" top="0.74803149606299213" bottom="0.74803149606299213" header="0.31496062992125984" footer="0.31496062992125984"/>
  <pageSetup paperSize="9" scale="2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DEE9F-C3EB-488D-90A9-9FCEE0552EAD}">
  <sheetPr>
    <pageSetUpPr fitToPage="1"/>
  </sheetPr>
  <dimension ref="A1:AB347"/>
  <sheetViews>
    <sheetView zoomScaleNormal="100" workbookViewId="0">
      <selection activeCell="B7" sqref="B7"/>
    </sheetView>
  </sheetViews>
  <sheetFormatPr defaultColWidth="8.90625" defaultRowHeight="13" x14ac:dyDescent="0.3"/>
  <cols>
    <col min="1" max="1" width="32.08984375" style="17" customWidth="1"/>
    <col min="2" max="2" width="15.90625" style="17" customWidth="1"/>
    <col min="3" max="3" width="16.81640625" style="21" customWidth="1"/>
    <col min="4" max="13" width="12.81640625" style="11" customWidth="1"/>
    <col min="14" max="16384" width="8.90625" style="17"/>
  </cols>
  <sheetData>
    <row r="1" spans="1:13" s="26" customFormat="1" ht="30.75" customHeight="1" x14ac:dyDescent="0.35">
      <c r="A1" s="183" t="str">
        <f>Introduction!A1</f>
        <v>Worked Example - Comparing Three Alternatives - www.economicevaluation.com.au</v>
      </c>
      <c r="B1" s="207"/>
      <c r="C1" s="207"/>
      <c r="D1" s="207"/>
      <c r="E1" s="207"/>
    </row>
    <row r="2" spans="1:13" s="27" customFormat="1" ht="30.75" customHeight="1" x14ac:dyDescent="0.35">
      <c r="A2" s="24" t="s">
        <v>110</v>
      </c>
    </row>
    <row r="3" spans="1:13" s="27" customFormat="1" ht="32" customHeight="1" x14ac:dyDescent="0.35">
      <c r="A3" s="80" t="s">
        <v>140</v>
      </c>
      <c r="B3" s="25"/>
      <c r="C3" s="7"/>
      <c r="D3" s="26"/>
      <c r="E3" s="26"/>
      <c r="F3" s="26"/>
      <c r="G3" s="26"/>
      <c r="H3" s="26"/>
      <c r="I3" s="26"/>
      <c r="J3" s="26"/>
      <c r="K3" s="26"/>
      <c r="L3" s="26"/>
      <c r="M3" s="26"/>
    </row>
    <row r="4" spans="1:13" ht="18" customHeight="1" x14ac:dyDescent="0.35">
      <c r="A4" s="1" t="s">
        <v>240</v>
      </c>
      <c r="B4" s="77"/>
      <c r="C4" s="78"/>
    </row>
    <row r="5" spans="1:13" s="27" customFormat="1" ht="15.5" x14ac:dyDescent="0.35">
      <c r="A5" s="152" t="str">
        <f>A265</f>
        <v>NPV - Low Capex Case</v>
      </c>
      <c r="B5" s="191" t="str">
        <f>B265</f>
        <v>US$ 000</v>
      </c>
      <c r="C5" s="153">
        <f>C265</f>
        <v>4573.7478070373654</v>
      </c>
      <c r="D5" s="26"/>
      <c r="E5" s="26"/>
      <c r="F5" s="26"/>
      <c r="G5" s="26"/>
      <c r="H5" s="26"/>
      <c r="I5" s="26"/>
      <c r="J5" s="26"/>
      <c r="K5" s="26"/>
      <c r="L5" s="26"/>
      <c r="M5" s="26"/>
    </row>
    <row r="6" spans="1:13" s="27" customFormat="1" ht="15.5" x14ac:dyDescent="0.35">
      <c r="A6" s="152" t="str">
        <f>A256</f>
        <v>IRR - Low Capex Case</v>
      </c>
      <c r="B6" s="192"/>
      <c r="C6" s="154">
        <f>C256</f>
        <v>0.11891858360584595</v>
      </c>
      <c r="D6" s="26"/>
      <c r="E6" s="26"/>
      <c r="F6" s="26"/>
      <c r="G6" s="26"/>
      <c r="H6" s="26"/>
      <c r="I6" s="26"/>
      <c r="J6" s="26"/>
      <c r="K6" s="26"/>
      <c r="L6" s="26"/>
      <c r="M6" s="26"/>
    </row>
    <row r="7" spans="1:13" ht="14.5" x14ac:dyDescent="0.35">
      <c r="A7" s="74" t="str">
        <f>A270</f>
        <v>NPV / Initial Capex</v>
      </c>
      <c r="B7" s="193"/>
      <c r="C7" s="76">
        <f>C270</f>
        <v>0.10636622807063641</v>
      </c>
      <c r="D7" s="21"/>
      <c r="E7" s="21"/>
      <c r="F7" s="21"/>
      <c r="G7" s="21"/>
      <c r="H7" s="21"/>
      <c r="I7" s="21"/>
      <c r="J7" s="21"/>
      <c r="K7" s="21"/>
      <c r="L7" s="21"/>
      <c r="M7" s="21"/>
    </row>
    <row r="8" spans="1:13" ht="17.25" customHeight="1" x14ac:dyDescent="0.35">
      <c r="A8" s="74" t="str">
        <f>A271</f>
        <v xml:space="preserve">Payback in Real terms </v>
      </c>
      <c r="B8" s="194" t="str">
        <f>B271</f>
        <v>Years from Day 1</v>
      </c>
      <c r="C8" s="78">
        <f>C271</f>
        <v>6</v>
      </c>
    </row>
    <row r="9" spans="1:13" ht="18" customHeight="1" x14ac:dyDescent="0.35">
      <c r="A9" s="1" t="s">
        <v>241</v>
      </c>
      <c r="B9" s="194"/>
      <c r="C9" s="78"/>
    </row>
    <row r="10" spans="1:13" s="35" customFormat="1" ht="17.25" customHeight="1" x14ac:dyDescent="0.3">
      <c r="A10" s="35" t="str">
        <f>A68</f>
        <v>Ore production</v>
      </c>
      <c r="B10" s="195" t="str">
        <f>B68</f>
        <v>000 dry tonnes</v>
      </c>
      <c r="C10" s="184">
        <f t="shared" ref="C10" si="0">C68</f>
        <v>3100</v>
      </c>
      <c r="D10" s="33"/>
      <c r="E10" s="33"/>
      <c r="F10" s="33"/>
      <c r="G10" s="33"/>
      <c r="H10" s="33"/>
      <c r="I10" s="33"/>
      <c r="J10" s="33"/>
      <c r="K10" s="33"/>
      <c r="L10" s="33"/>
      <c r="M10" s="33"/>
    </row>
    <row r="11" spans="1:13" s="35" customFormat="1" ht="17" customHeight="1" x14ac:dyDescent="0.3">
      <c r="A11" s="35" t="str">
        <f>A72</f>
        <v>Gold produced</v>
      </c>
      <c r="B11" s="195" t="str">
        <f>B72</f>
        <v>000 ounces</v>
      </c>
      <c r="C11" s="184">
        <f t="shared" ref="C11" si="1">C72</f>
        <v>237.7234726688103</v>
      </c>
      <c r="D11" s="33"/>
      <c r="E11" s="33"/>
      <c r="F11" s="33"/>
      <c r="G11" s="33"/>
      <c r="H11" s="33"/>
      <c r="I11" s="33"/>
      <c r="J11" s="33"/>
      <c r="K11" s="33"/>
      <c r="L11" s="33"/>
      <c r="M11" s="33"/>
    </row>
    <row r="12" spans="1:13" ht="18" customHeight="1" x14ac:dyDescent="0.35">
      <c r="A12" s="1" t="s">
        <v>243</v>
      </c>
      <c r="B12" s="194"/>
      <c r="C12" s="78"/>
    </row>
    <row r="13" spans="1:13" s="185" customFormat="1" ht="17" customHeight="1" x14ac:dyDescent="0.3">
      <c r="A13" s="185" t="str">
        <f>A102</f>
        <v>Initial capex</v>
      </c>
      <c r="B13" s="196" t="str">
        <f>B102</f>
        <v>US$ 000 Real</v>
      </c>
      <c r="C13" s="186">
        <f t="shared" ref="C13" si="2">C102</f>
        <v>43000</v>
      </c>
      <c r="D13" s="187"/>
      <c r="E13" s="187"/>
      <c r="F13" s="187"/>
      <c r="G13" s="187"/>
      <c r="H13" s="187"/>
      <c r="I13" s="187"/>
      <c r="J13" s="187"/>
      <c r="K13" s="187"/>
      <c r="L13" s="187"/>
      <c r="M13" s="187"/>
    </row>
    <row r="14" spans="1:13" s="185" customFormat="1" ht="17.25" customHeight="1" x14ac:dyDescent="0.3">
      <c r="A14" s="185" t="str">
        <f>A210</f>
        <v>opex before Government royalty &amp; taxes per ounce</v>
      </c>
      <c r="B14" s="196" t="str">
        <f>B210</f>
        <v>US$/ounce Real</v>
      </c>
      <c r="C14" s="187">
        <f t="shared" ref="C14" si="3">C210</f>
        <v>1384.2426283611965</v>
      </c>
      <c r="D14" s="187"/>
      <c r="E14" s="187"/>
      <c r="F14" s="187"/>
      <c r="G14" s="187"/>
      <c r="H14" s="187"/>
      <c r="I14" s="187"/>
      <c r="J14" s="187"/>
      <c r="K14" s="187"/>
      <c r="L14" s="187"/>
      <c r="M14" s="187"/>
    </row>
    <row r="15" spans="1:13" s="185" customFormat="1" ht="18.5" customHeight="1" x14ac:dyDescent="0.35">
      <c r="A15" s="1" t="s">
        <v>242</v>
      </c>
      <c r="B15" s="196"/>
      <c r="C15" s="186"/>
      <c r="D15" s="187"/>
      <c r="E15" s="187"/>
      <c r="F15" s="187"/>
      <c r="G15" s="187"/>
      <c r="H15" s="187"/>
      <c r="I15" s="187"/>
      <c r="J15" s="187"/>
      <c r="K15" s="187"/>
      <c r="L15" s="187"/>
      <c r="M15" s="187"/>
    </row>
    <row r="16" spans="1:13" s="185" customFormat="1" ht="17.25" customHeight="1" x14ac:dyDescent="0.3">
      <c r="A16" s="185" t="str">
        <f>A88</f>
        <v>Cashstream 1: Revenue - Low Capex Case</v>
      </c>
      <c r="B16" s="196" t="str">
        <f>B88</f>
        <v>US$ 000 Real</v>
      </c>
      <c r="C16" s="186">
        <f t="shared" ref="C16" si="4">C88</f>
        <v>475446.94533762056</v>
      </c>
      <c r="D16" s="187"/>
      <c r="E16" s="187"/>
      <c r="F16" s="187"/>
      <c r="G16" s="187"/>
      <c r="H16" s="187"/>
      <c r="I16" s="187"/>
      <c r="J16" s="187"/>
      <c r="K16" s="187"/>
      <c r="L16" s="187"/>
      <c r="M16" s="187"/>
    </row>
    <row r="17" spans="1:19" s="185" customFormat="1" ht="17.25" customHeight="1" x14ac:dyDescent="0.3">
      <c r="A17" s="190" t="str">
        <f>A113</f>
        <v>Cashstream 2: Capital Costs - Low Capex Case</v>
      </c>
      <c r="B17" s="197" t="str">
        <f>B113</f>
        <v>US$ 000 Real</v>
      </c>
      <c r="C17" s="198">
        <f t="shared" ref="C17" si="5">C113</f>
        <v>83200</v>
      </c>
      <c r="D17" s="187"/>
      <c r="E17" s="187"/>
      <c r="F17" s="187"/>
      <c r="G17" s="187"/>
      <c r="H17" s="187"/>
      <c r="I17" s="187"/>
      <c r="J17" s="187"/>
      <c r="K17" s="187"/>
      <c r="L17" s="187"/>
      <c r="M17" s="187"/>
    </row>
    <row r="18" spans="1:19" s="185" customFormat="1" ht="17.25" customHeight="1" x14ac:dyDescent="0.3">
      <c r="A18" s="190" t="str">
        <f>A206</f>
        <v>Cashstream 3: Operating Costs - Low Capex Case</v>
      </c>
      <c r="B18" s="197" t="str">
        <f>B206</f>
        <v>US$ 000 Real</v>
      </c>
      <c r="C18" s="198">
        <f t="shared" ref="C18" si="6">C206</f>
        <v>329066.96463022503</v>
      </c>
      <c r="D18" s="187"/>
      <c r="E18" s="187"/>
      <c r="F18" s="187"/>
      <c r="G18" s="187"/>
      <c r="H18" s="187"/>
      <c r="I18" s="187"/>
      <c r="J18" s="187"/>
      <c r="K18" s="187"/>
      <c r="L18" s="187"/>
      <c r="M18" s="187"/>
    </row>
    <row r="19" spans="1:19" s="185" customFormat="1" ht="17" customHeight="1" x14ac:dyDescent="0.3">
      <c r="A19" s="185" t="str">
        <f>A244</f>
        <v>Cashstream 4: Taxes - Low Capex Case</v>
      </c>
      <c r="B19" s="196" t="str">
        <f>B244</f>
        <v>US$ 000 Real</v>
      </c>
      <c r="C19" s="186">
        <f t="shared" ref="C19" si="7">C244</f>
        <v>45652.42675262496</v>
      </c>
      <c r="D19" s="187"/>
      <c r="E19" s="187"/>
      <c r="F19" s="187"/>
      <c r="G19" s="187"/>
      <c r="H19" s="187"/>
      <c r="I19" s="187"/>
      <c r="J19" s="187"/>
      <c r="K19" s="187"/>
      <c r="L19" s="187"/>
      <c r="M19" s="187"/>
    </row>
    <row r="20" spans="1:19" s="185" customFormat="1" ht="17" customHeight="1" x14ac:dyDescent="0.35">
      <c r="A20" s="201" t="str">
        <f>A253</f>
        <v>Cash Generation - Low Capex Case</v>
      </c>
      <c r="B20" s="196" t="str">
        <f>B253</f>
        <v>US$ 000 Real</v>
      </c>
      <c r="C20" s="199">
        <f t="shared" ref="C20" si="8">C253</f>
        <v>17527.553954770563</v>
      </c>
      <c r="D20" s="200"/>
      <c r="E20" s="200"/>
      <c r="F20" s="200"/>
      <c r="G20" s="200"/>
      <c r="H20" s="200"/>
      <c r="I20" s="200"/>
      <c r="J20" s="200"/>
      <c r="K20" s="200"/>
      <c r="L20" s="200"/>
      <c r="M20" s="200"/>
    </row>
    <row r="21" spans="1:19" ht="17" customHeight="1" x14ac:dyDescent="0.3">
      <c r="A21" s="18"/>
      <c r="B21" s="18"/>
      <c r="C21" s="29"/>
    </row>
    <row r="22" spans="1:19" ht="17.25" customHeight="1" x14ac:dyDescent="0.3">
      <c r="A22" s="18"/>
      <c r="B22" s="18"/>
      <c r="C22" s="29"/>
    </row>
    <row r="23" spans="1:19" ht="17.25" customHeight="1" x14ac:dyDescent="0.3">
      <c r="A23" s="18"/>
      <c r="B23" s="18"/>
      <c r="C23" s="29"/>
    </row>
    <row r="24" spans="1:19" ht="17.25" customHeight="1" x14ac:dyDescent="0.3">
      <c r="A24" s="18"/>
      <c r="B24" s="18"/>
      <c r="C24" s="29"/>
    </row>
    <row r="25" spans="1:19" ht="17.25" customHeight="1" x14ac:dyDescent="0.3">
      <c r="A25" s="18"/>
      <c r="B25" s="18"/>
      <c r="C25" s="29"/>
    </row>
    <row r="26" spans="1:19" ht="17.25" customHeight="1" x14ac:dyDescent="0.3">
      <c r="A26" s="18"/>
      <c r="B26" s="18"/>
      <c r="C26" s="29"/>
    </row>
    <row r="27" spans="1:19" ht="17.25" customHeight="1" x14ac:dyDescent="0.3">
      <c r="A27" s="18"/>
      <c r="B27" s="18"/>
      <c r="C27" s="29"/>
    </row>
    <row r="28" spans="1:19" ht="17.25" customHeight="1" x14ac:dyDescent="0.3">
      <c r="A28" s="18"/>
      <c r="B28" s="18"/>
      <c r="C28" s="29"/>
    </row>
    <row r="29" spans="1:19" ht="17.25" customHeight="1" x14ac:dyDescent="0.3">
      <c r="A29" s="18"/>
      <c r="B29" s="18"/>
      <c r="C29" s="29"/>
    </row>
    <row r="30" spans="1:19" ht="17.25" customHeight="1" x14ac:dyDescent="0.3">
      <c r="A30" s="18"/>
      <c r="B30" s="18"/>
      <c r="C30" s="29"/>
      <c r="P30" s="11"/>
      <c r="R30" s="11"/>
      <c r="S30" s="30"/>
    </row>
    <row r="31" spans="1:19" ht="17.25" customHeight="1" x14ac:dyDescent="0.3">
      <c r="A31" s="18"/>
      <c r="B31" s="18"/>
      <c r="C31" s="29"/>
      <c r="P31" s="11"/>
      <c r="R31" s="11"/>
      <c r="S31" s="30"/>
    </row>
    <row r="32" spans="1:19" ht="17.25" customHeight="1" x14ac:dyDescent="0.3">
      <c r="A32" s="18"/>
      <c r="B32" s="18"/>
      <c r="C32" s="29"/>
      <c r="P32" s="11"/>
      <c r="R32" s="11"/>
      <c r="S32" s="30"/>
    </row>
    <row r="33" spans="1:8" ht="17.25" customHeight="1" x14ac:dyDescent="0.3">
      <c r="A33" s="18"/>
      <c r="B33" s="18"/>
      <c r="C33" s="29"/>
    </row>
    <row r="34" spans="1:8" ht="17.25" customHeight="1" x14ac:dyDescent="0.3">
      <c r="A34" s="18"/>
      <c r="B34" s="18"/>
      <c r="C34" s="29"/>
    </row>
    <row r="35" spans="1:8" ht="17.25" customHeight="1" x14ac:dyDescent="0.3">
      <c r="A35" s="18"/>
      <c r="B35" s="18"/>
      <c r="C35" s="29"/>
    </row>
    <row r="36" spans="1:8" ht="17.25" customHeight="1" x14ac:dyDescent="0.3">
      <c r="A36" s="18"/>
      <c r="B36" s="18"/>
      <c r="C36" s="29"/>
    </row>
    <row r="37" spans="1:8" ht="17.25" customHeight="1" x14ac:dyDescent="0.3">
      <c r="A37" s="18"/>
      <c r="B37" s="18"/>
      <c r="C37" s="29"/>
    </row>
    <row r="38" spans="1:8" ht="17.25" customHeight="1" x14ac:dyDescent="0.3">
      <c r="A38" s="18"/>
      <c r="B38" s="18"/>
      <c r="C38" s="29"/>
    </row>
    <row r="39" spans="1:8" ht="17.25" customHeight="1" x14ac:dyDescent="0.3">
      <c r="A39" s="18"/>
      <c r="B39" s="18"/>
      <c r="C39" s="29"/>
    </row>
    <row r="40" spans="1:8" ht="17.25" customHeight="1" x14ac:dyDescent="0.3">
      <c r="A40" s="18"/>
      <c r="B40" s="18"/>
      <c r="C40" s="29"/>
    </row>
    <row r="41" spans="1:8" ht="17.25" customHeight="1" x14ac:dyDescent="0.3">
      <c r="A41" s="18"/>
      <c r="B41" s="18"/>
      <c r="C41" s="29"/>
      <c r="H41" s="30"/>
    </row>
    <row r="42" spans="1:8" ht="17.25" customHeight="1" x14ac:dyDescent="0.3">
      <c r="A42" s="18"/>
      <c r="B42" s="18"/>
      <c r="C42" s="29"/>
    </row>
    <row r="43" spans="1:8" ht="17.25" customHeight="1" x14ac:dyDescent="0.3">
      <c r="A43" s="18"/>
      <c r="B43" s="18"/>
      <c r="C43" s="29"/>
    </row>
    <row r="44" spans="1:8" ht="17.25" customHeight="1" x14ac:dyDescent="0.3">
      <c r="A44" s="18"/>
      <c r="B44" s="18"/>
      <c r="C44" s="29"/>
    </row>
    <row r="45" spans="1:8" ht="17.25" customHeight="1" x14ac:dyDescent="0.3">
      <c r="A45" s="18"/>
      <c r="B45" s="18"/>
      <c r="C45" s="29"/>
    </row>
    <row r="46" spans="1:8" ht="17.25" customHeight="1" x14ac:dyDescent="0.3">
      <c r="A46" s="18"/>
      <c r="B46" s="18"/>
      <c r="C46" s="29"/>
    </row>
    <row r="47" spans="1:8" ht="17.25" customHeight="1" x14ac:dyDescent="0.3">
      <c r="A47" s="18"/>
      <c r="B47" s="18"/>
      <c r="C47" s="29"/>
    </row>
    <row r="48" spans="1:8" ht="17.25" customHeight="1" x14ac:dyDescent="0.3">
      <c r="A48" s="18"/>
      <c r="B48" s="18"/>
      <c r="C48" s="29"/>
    </row>
    <row r="49" spans="1:13" ht="17.25" customHeight="1" x14ac:dyDescent="0.3">
      <c r="A49" s="18"/>
      <c r="B49" s="18"/>
      <c r="C49" s="29"/>
    </row>
    <row r="50" spans="1:13" ht="17.25" customHeight="1" x14ac:dyDescent="0.3">
      <c r="A50" s="18"/>
      <c r="B50" s="18"/>
      <c r="C50" s="29"/>
    </row>
    <row r="51" spans="1:13" ht="17.25" customHeight="1" x14ac:dyDescent="0.3">
      <c r="A51" s="18"/>
      <c r="B51" s="18"/>
      <c r="C51" s="29"/>
    </row>
    <row r="52" spans="1:13" ht="17.25" customHeight="1" x14ac:dyDescent="0.3">
      <c r="A52" s="18"/>
      <c r="B52" s="18"/>
      <c r="C52" s="29"/>
    </row>
    <row r="53" spans="1:13" ht="17.25" customHeight="1" x14ac:dyDescent="0.3">
      <c r="A53" s="18"/>
      <c r="B53" s="18"/>
      <c r="C53" s="29"/>
    </row>
    <row r="54" spans="1:13" ht="17.25" customHeight="1" x14ac:dyDescent="0.3">
      <c r="A54" s="18"/>
      <c r="B54" s="18"/>
      <c r="C54" s="29"/>
    </row>
    <row r="55" spans="1:13" ht="17.25" customHeight="1" x14ac:dyDescent="0.3">
      <c r="A55" s="18"/>
      <c r="B55" s="18"/>
      <c r="C55" s="29"/>
    </row>
    <row r="56" spans="1:13" ht="17.25" customHeight="1" x14ac:dyDescent="0.3">
      <c r="A56" s="18"/>
      <c r="B56" s="18"/>
      <c r="C56" s="29"/>
    </row>
    <row r="57" spans="1:13" ht="17.25" customHeight="1" x14ac:dyDescent="0.3">
      <c r="A57" s="18"/>
      <c r="B57" s="18"/>
      <c r="C57" s="29"/>
    </row>
    <row r="58" spans="1:13" ht="17.25" customHeight="1" x14ac:dyDescent="0.3">
      <c r="A58" s="18"/>
      <c r="B58" s="18"/>
      <c r="C58" s="29"/>
    </row>
    <row r="59" spans="1:13" ht="17.25" customHeight="1" x14ac:dyDescent="0.3">
      <c r="A59" s="18"/>
      <c r="B59" s="18"/>
      <c r="C59" s="29"/>
    </row>
    <row r="60" spans="1:13" ht="17.25" customHeight="1" x14ac:dyDescent="0.3">
      <c r="A60" s="18"/>
      <c r="B60" s="18"/>
      <c r="C60" s="29"/>
    </row>
    <row r="61" spans="1:13" ht="17.25" customHeight="1" x14ac:dyDescent="0.3">
      <c r="A61" s="18"/>
      <c r="B61" s="18"/>
      <c r="C61" s="29"/>
    </row>
    <row r="62" spans="1:13" ht="17" customHeight="1" x14ac:dyDescent="0.3">
      <c r="A62" s="18"/>
      <c r="B62" s="18"/>
      <c r="C62" s="29"/>
    </row>
    <row r="63" spans="1:13" s="183" customFormat="1" ht="27.5" customHeight="1" x14ac:dyDescent="0.35">
      <c r="A63" s="180" t="str">
        <f>'Results &amp; Common Inputs'!A$28</f>
        <v>Life of Business</v>
      </c>
      <c r="B63" s="180" t="str">
        <f>'Results &amp; Common Inputs'!B$28</f>
        <v>units</v>
      </c>
      <c r="C63" s="181" t="str">
        <f>'Results &amp; Common Inputs'!C$28</f>
        <v>Total</v>
      </c>
      <c r="D63" s="182">
        <f>'Results &amp; Common Inputs'!D$28</f>
        <v>2026</v>
      </c>
      <c r="E63" s="182">
        <f>'Results &amp; Common Inputs'!E$28</f>
        <v>2027</v>
      </c>
      <c r="F63" s="182">
        <f>'Results &amp; Common Inputs'!F$28</f>
        <v>2028</v>
      </c>
      <c r="G63" s="182">
        <f>'Results &amp; Common Inputs'!G$28</f>
        <v>2029</v>
      </c>
      <c r="H63" s="182">
        <f>'Results &amp; Common Inputs'!H$28</f>
        <v>2030</v>
      </c>
      <c r="I63" s="182">
        <f>'Results &amp; Common Inputs'!I$28</f>
        <v>2031</v>
      </c>
      <c r="J63" s="182">
        <f>'Results &amp; Common Inputs'!J$28</f>
        <v>2032</v>
      </c>
      <c r="K63" s="182">
        <f>'Results &amp; Common Inputs'!K$28</f>
        <v>2033</v>
      </c>
      <c r="L63" s="182">
        <f>'Results &amp; Common Inputs'!L$28</f>
        <v>2034</v>
      </c>
      <c r="M63" s="182">
        <f>'Results &amp; Common Inputs'!M$28</f>
        <v>2035</v>
      </c>
    </row>
    <row r="64" spans="1:13" s="63" customFormat="1" ht="43.75" customHeight="1" x14ac:dyDescent="0.35">
      <c r="A64" s="98" t="s">
        <v>5</v>
      </c>
      <c r="C64" s="64"/>
      <c r="D64" s="64"/>
      <c r="E64" s="64"/>
      <c r="F64" s="64"/>
      <c r="G64" s="64"/>
      <c r="H64" s="64"/>
      <c r="I64" s="64"/>
      <c r="J64" s="64"/>
      <c r="K64" s="64"/>
      <c r="L64" s="64"/>
      <c r="M64" s="64"/>
    </row>
    <row r="65" spans="1:13" ht="14.5" x14ac:dyDescent="0.35">
      <c r="A65" s="1" t="s">
        <v>8</v>
      </c>
      <c r="B65" s="18"/>
      <c r="D65" s="21"/>
      <c r="E65" s="21"/>
      <c r="F65" s="21"/>
      <c r="G65" s="21"/>
      <c r="H65" s="21"/>
      <c r="I65" s="21"/>
      <c r="J65" s="21"/>
      <c r="K65" s="21"/>
      <c r="L65" s="21"/>
      <c r="M65" s="21"/>
    </row>
    <row r="66" spans="1:13" s="23" customFormat="1" x14ac:dyDescent="0.3">
      <c r="A66" s="92" t="s">
        <v>197</v>
      </c>
      <c r="B66" s="19"/>
      <c r="C66" s="100"/>
      <c r="D66" s="100"/>
      <c r="E66" s="100"/>
      <c r="F66" s="100"/>
      <c r="G66" s="100"/>
      <c r="H66" s="100"/>
      <c r="I66" s="100"/>
      <c r="J66" s="100"/>
      <c r="K66" s="100"/>
      <c r="L66" s="100"/>
      <c r="M66" s="100"/>
    </row>
    <row r="67" spans="1:13" s="19" customFormat="1" x14ac:dyDescent="0.3">
      <c r="A67" s="135" t="s">
        <v>58</v>
      </c>
      <c r="B67" s="130" t="s">
        <v>47</v>
      </c>
      <c r="C67" s="137">
        <f>SUM(D67:M67)</f>
        <v>3580</v>
      </c>
      <c r="D67" s="137"/>
      <c r="E67" s="137"/>
      <c r="F67" s="137">
        <v>950</v>
      </c>
      <c r="G67" s="137">
        <v>700</v>
      </c>
      <c r="H67" s="137">
        <v>700</v>
      </c>
      <c r="I67" s="137">
        <v>700</v>
      </c>
      <c r="J67" s="137">
        <v>300</v>
      </c>
      <c r="K67" s="137">
        <v>230</v>
      </c>
      <c r="L67" s="137"/>
      <c r="M67" s="137"/>
    </row>
    <row r="68" spans="1:13" s="19" customFormat="1" x14ac:dyDescent="0.3">
      <c r="A68" s="135" t="s">
        <v>60</v>
      </c>
      <c r="B68" s="130" t="s">
        <v>47</v>
      </c>
      <c r="C68" s="137">
        <f>SUM(D68:M68)</f>
        <v>3100</v>
      </c>
      <c r="D68" s="137"/>
      <c r="E68" s="137"/>
      <c r="F68" s="137"/>
      <c r="G68" s="137">
        <v>400</v>
      </c>
      <c r="H68" s="137">
        <v>600</v>
      </c>
      <c r="I68" s="137">
        <v>600</v>
      </c>
      <c r="J68" s="137">
        <v>600</v>
      </c>
      <c r="K68" s="137">
        <v>600</v>
      </c>
      <c r="L68" s="137">
        <v>300</v>
      </c>
      <c r="M68" s="137"/>
    </row>
    <row r="69" spans="1:13" s="19" customFormat="1" x14ac:dyDescent="0.3">
      <c r="A69" s="135" t="s">
        <v>106</v>
      </c>
      <c r="B69" s="130" t="s">
        <v>105</v>
      </c>
      <c r="C69" s="147">
        <f>C70*31.1/C68</f>
        <v>2.6225806451612907</v>
      </c>
      <c r="D69" s="148"/>
      <c r="E69" s="148"/>
      <c r="F69" s="148"/>
      <c r="G69" s="148">
        <v>2.4</v>
      </c>
      <c r="H69" s="148">
        <v>2.8</v>
      </c>
      <c r="I69" s="148">
        <v>2.9</v>
      </c>
      <c r="J69" s="148">
        <v>2.6</v>
      </c>
      <c r="K69" s="148">
        <v>2.6</v>
      </c>
      <c r="L69" s="148">
        <v>2.1</v>
      </c>
      <c r="M69" s="148"/>
    </row>
    <row r="70" spans="1:13" x14ac:dyDescent="0.3">
      <c r="A70" s="17" t="s">
        <v>9</v>
      </c>
      <c r="B70" s="17" t="s">
        <v>103</v>
      </c>
      <c r="C70" s="33">
        <f>SUM(D70:M70)</f>
        <v>261.41479099678457</v>
      </c>
      <c r="D70" s="33">
        <f>D68*D69/31.1</f>
        <v>0</v>
      </c>
      <c r="E70" s="33">
        <f>E68*E69/31.1</f>
        <v>0</v>
      </c>
      <c r="F70" s="33">
        <f>F68*F69/31.1</f>
        <v>0</v>
      </c>
      <c r="G70" s="33">
        <f>G68*G69/31.1</f>
        <v>30.868167202572344</v>
      </c>
      <c r="H70" s="33">
        <f t="shared" ref="H70:M70" si="9">H68*H69/31.1</f>
        <v>54.019292604501608</v>
      </c>
      <c r="I70" s="33">
        <f t="shared" si="9"/>
        <v>55.948553054662376</v>
      </c>
      <c r="J70" s="33">
        <f t="shared" si="9"/>
        <v>50.160771704180064</v>
      </c>
      <c r="K70" s="33">
        <f t="shared" si="9"/>
        <v>50.160771704180064</v>
      </c>
      <c r="L70" s="33">
        <f t="shared" si="9"/>
        <v>20.2572347266881</v>
      </c>
      <c r="M70" s="33">
        <f t="shared" si="9"/>
        <v>0</v>
      </c>
    </row>
    <row r="71" spans="1:13" s="19" customFormat="1" x14ac:dyDescent="0.3">
      <c r="A71" s="149" t="s">
        <v>108</v>
      </c>
      <c r="B71" s="134" t="s">
        <v>10</v>
      </c>
      <c r="C71" s="150">
        <f>C72/C70</f>
        <v>0.9093726937269373</v>
      </c>
      <c r="D71" s="150"/>
      <c r="E71" s="150"/>
      <c r="F71" s="150"/>
      <c r="G71" s="150">
        <v>0.83</v>
      </c>
      <c r="H71" s="150">
        <v>0.92</v>
      </c>
      <c r="I71" s="150">
        <f>H71</f>
        <v>0.92</v>
      </c>
      <c r="J71" s="150">
        <f>I71</f>
        <v>0.92</v>
      </c>
      <c r="K71" s="150">
        <f>J71</f>
        <v>0.92</v>
      </c>
      <c r="L71" s="150">
        <f>K71</f>
        <v>0.92</v>
      </c>
      <c r="M71" s="150"/>
    </row>
    <row r="72" spans="1:13" x14ac:dyDescent="0.3">
      <c r="A72" s="18" t="s">
        <v>11</v>
      </c>
      <c r="B72" s="17" t="s">
        <v>103</v>
      </c>
      <c r="C72" s="32">
        <f>SUM(D72:M72)</f>
        <v>237.7234726688103</v>
      </c>
      <c r="D72" s="79">
        <f>D68*D69*D71/31.1</f>
        <v>0</v>
      </c>
      <c r="E72" s="79">
        <f t="shared" ref="E72:M72" si="10">E68*E69*E71/31.1</f>
        <v>0</v>
      </c>
      <c r="F72" s="79">
        <f t="shared" si="10"/>
        <v>0</v>
      </c>
      <c r="G72" s="79">
        <f t="shared" si="10"/>
        <v>25.620578778135044</v>
      </c>
      <c r="H72" s="79">
        <f t="shared" si="10"/>
        <v>49.69774919614148</v>
      </c>
      <c r="I72" s="79">
        <f t="shared" si="10"/>
        <v>51.472668810289392</v>
      </c>
      <c r="J72" s="79">
        <f t="shared" si="10"/>
        <v>46.147909967845656</v>
      </c>
      <c r="K72" s="79">
        <f t="shared" si="10"/>
        <v>46.147909967845656</v>
      </c>
      <c r="L72" s="79">
        <f t="shared" si="10"/>
        <v>18.636655948553056</v>
      </c>
      <c r="M72" s="79">
        <f t="shared" si="10"/>
        <v>0</v>
      </c>
    </row>
    <row r="73" spans="1:13" ht="11.5" customHeight="1" x14ac:dyDescent="0.3">
      <c r="A73" s="18"/>
      <c r="B73" s="18"/>
      <c r="D73" s="21"/>
      <c r="E73" s="21"/>
      <c r="F73" s="21"/>
      <c r="G73" s="21"/>
      <c r="H73" s="21"/>
      <c r="I73" s="21"/>
      <c r="J73" s="21"/>
      <c r="K73" s="21"/>
      <c r="L73" s="21"/>
      <c r="M73" s="21"/>
    </row>
    <row r="74" spans="1:13" x14ac:dyDescent="0.3">
      <c r="A74" s="31" t="s">
        <v>12</v>
      </c>
      <c r="B74" s="18"/>
      <c r="D74" s="21"/>
      <c r="E74" s="21"/>
      <c r="F74" s="21"/>
      <c r="G74" s="21"/>
      <c r="H74" s="21"/>
      <c r="I74" s="21"/>
      <c r="J74" s="21"/>
      <c r="K74" s="21"/>
      <c r="L74" s="21"/>
      <c r="M74" s="21"/>
    </row>
    <row r="75" spans="1:13" s="103" customFormat="1" x14ac:dyDescent="0.3">
      <c r="A75" s="151" t="str">
        <f>'Results &amp; Common Inputs'!A41</f>
        <v xml:space="preserve">Ore and gold stocks - equivalent </v>
      </c>
      <c r="B75" s="151" t="str">
        <f>'Results &amp; Common Inputs'!B41</f>
        <v>weeks</v>
      </c>
      <c r="C75" s="151"/>
      <c r="D75" s="113">
        <f>'Results &amp; Common Inputs'!D41</f>
        <v>5</v>
      </c>
      <c r="E75" s="113">
        <f>'Results &amp; Common Inputs'!E41</f>
        <v>5</v>
      </c>
      <c r="F75" s="113">
        <f>'Results &amp; Common Inputs'!F41</f>
        <v>5</v>
      </c>
      <c r="G75" s="113">
        <f>'Results &amp; Common Inputs'!G41</f>
        <v>5</v>
      </c>
      <c r="H75" s="113">
        <f>'Results &amp; Common Inputs'!H41</f>
        <v>5</v>
      </c>
      <c r="I75" s="113">
        <f>'Results &amp; Common Inputs'!I41</f>
        <v>5</v>
      </c>
      <c r="J75" s="113">
        <f>'Results &amp; Common Inputs'!J41</f>
        <v>5</v>
      </c>
      <c r="K75" s="113">
        <f>'Results &amp; Common Inputs'!K41</f>
        <v>5</v>
      </c>
      <c r="L75" s="113">
        <f>'Results &amp; Common Inputs'!L41</f>
        <v>5</v>
      </c>
      <c r="M75" s="113">
        <f>'Results &amp; Common Inputs'!M41</f>
        <v>5</v>
      </c>
    </row>
    <row r="76" spans="1:13" ht="13.5" thickBot="1" x14ac:dyDescent="0.35">
      <c r="A76" s="17" t="s">
        <v>116</v>
      </c>
      <c r="B76" s="17" t="s">
        <v>103</v>
      </c>
      <c r="C76" s="33"/>
      <c r="D76" s="33">
        <f t="shared" ref="D76:M76" si="11">IF(E72=0,0,D75/52*D72)</f>
        <v>0</v>
      </c>
      <c r="E76" s="33">
        <f t="shared" si="11"/>
        <v>0</v>
      </c>
      <c r="F76" s="33">
        <f t="shared" si="11"/>
        <v>0</v>
      </c>
      <c r="G76" s="33">
        <f t="shared" si="11"/>
        <v>2.4635171902052928</v>
      </c>
      <c r="H76" s="33">
        <f t="shared" si="11"/>
        <v>4.7786297303982197</v>
      </c>
      <c r="I76" s="33">
        <f t="shared" si="11"/>
        <v>4.9492950779124421</v>
      </c>
      <c r="J76" s="33">
        <f t="shared" si="11"/>
        <v>4.437299035369775</v>
      </c>
      <c r="K76" s="33">
        <f t="shared" si="11"/>
        <v>4.437299035369775</v>
      </c>
      <c r="L76" s="33">
        <f t="shared" si="11"/>
        <v>0</v>
      </c>
      <c r="M76" s="33">
        <f t="shared" si="11"/>
        <v>0</v>
      </c>
    </row>
    <row r="77" spans="1:13" ht="13.5" thickBot="1" x14ac:dyDescent="0.35">
      <c r="A77" s="18" t="s">
        <v>14</v>
      </c>
      <c r="B77" s="17" t="s">
        <v>103</v>
      </c>
      <c r="C77" s="32">
        <f>SUM(D77:M77)</f>
        <v>237.7234726688103</v>
      </c>
      <c r="D77" s="22">
        <v>0</v>
      </c>
      <c r="E77" s="156">
        <f t="shared" ref="E77:M77" si="12">D76+E72-E76</f>
        <v>0</v>
      </c>
      <c r="F77" s="79">
        <f t="shared" si="12"/>
        <v>0</v>
      </c>
      <c r="G77" s="79">
        <f t="shared" si="12"/>
        <v>23.157061587929753</v>
      </c>
      <c r="H77" s="79">
        <f t="shared" si="12"/>
        <v>47.382636655948552</v>
      </c>
      <c r="I77" s="79">
        <f t="shared" si="12"/>
        <v>51.302003462775176</v>
      </c>
      <c r="J77" s="79">
        <f t="shared" si="12"/>
        <v>46.659906010388326</v>
      </c>
      <c r="K77" s="79">
        <f t="shared" si="12"/>
        <v>46.147909967845656</v>
      </c>
      <c r="L77" s="79">
        <f t="shared" si="12"/>
        <v>23.073954983922832</v>
      </c>
      <c r="M77" s="79">
        <f t="shared" si="12"/>
        <v>0</v>
      </c>
    </row>
    <row r="78" spans="1:13" x14ac:dyDescent="0.3">
      <c r="A78" s="18"/>
      <c r="B78" s="18"/>
      <c r="D78" s="21"/>
      <c r="E78" s="32"/>
      <c r="F78" s="32"/>
      <c r="G78" s="32"/>
      <c r="H78" s="32"/>
      <c r="I78" s="32"/>
      <c r="J78" s="32"/>
      <c r="K78" s="32"/>
      <c r="L78" s="32"/>
      <c r="M78" s="32"/>
    </row>
    <row r="79" spans="1:13" x14ac:dyDescent="0.3">
      <c r="A79" s="31" t="s">
        <v>15</v>
      </c>
      <c r="B79" s="18"/>
      <c r="D79" s="21"/>
      <c r="E79" s="21"/>
      <c r="F79" s="21"/>
      <c r="G79" s="21"/>
      <c r="H79" s="21"/>
      <c r="I79" s="21"/>
      <c r="J79" s="21"/>
      <c r="K79" s="21"/>
      <c r="L79" s="21"/>
      <c r="M79" s="21"/>
    </row>
    <row r="80" spans="1:13" s="103" customFormat="1" x14ac:dyDescent="0.3">
      <c r="A80" s="151" t="str">
        <f>'Results &amp; Common Inputs'!A31</f>
        <v>Gold price forecast</v>
      </c>
      <c r="B80" s="151" t="str">
        <f>'Results &amp; Common Inputs'!B31</f>
        <v>US$/ounce Real</v>
      </c>
      <c r="C80" s="151"/>
      <c r="D80" s="113">
        <f>'Results &amp; Common Inputs'!D31</f>
        <v>2000</v>
      </c>
      <c r="E80" s="113">
        <f>'Results &amp; Common Inputs'!E31</f>
        <v>2000</v>
      </c>
      <c r="F80" s="113">
        <f>'Results &amp; Common Inputs'!F31</f>
        <v>2000</v>
      </c>
      <c r="G80" s="113">
        <f>'Results &amp; Common Inputs'!G31</f>
        <v>2000</v>
      </c>
      <c r="H80" s="113">
        <f>'Results &amp; Common Inputs'!H31</f>
        <v>2000</v>
      </c>
      <c r="I80" s="113">
        <f>'Results &amp; Common Inputs'!I31</f>
        <v>2000</v>
      </c>
      <c r="J80" s="113">
        <f>'Results &amp; Common Inputs'!J31</f>
        <v>2000</v>
      </c>
      <c r="K80" s="113">
        <f>'Results &amp; Common Inputs'!K31</f>
        <v>2000</v>
      </c>
      <c r="L80" s="113">
        <f>'Results &amp; Common Inputs'!L31</f>
        <v>2000</v>
      </c>
      <c r="M80" s="113">
        <f>'Results &amp; Common Inputs'!M31</f>
        <v>2000</v>
      </c>
    </row>
    <row r="81" spans="1:13" x14ac:dyDescent="0.3">
      <c r="A81" s="18" t="s">
        <v>18</v>
      </c>
      <c r="B81" s="17" t="s">
        <v>124</v>
      </c>
      <c r="C81" s="32">
        <f>SUM(D81:M81)</f>
        <v>475446.94533762056</v>
      </c>
      <c r="D81" s="32">
        <f t="shared" ref="D81:M81" si="13">D77*D80</f>
        <v>0</v>
      </c>
      <c r="E81" s="32">
        <f t="shared" si="13"/>
        <v>0</v>
      </c>
      <c r="F81" s="32">
        <f t="shared" si="13"/>
        <v>0</v>
      </c>
      <c r="G81" s="32">
        <f t="shared" si="13"/>
        <v>46314.12317585951</v>
      </c>
      <c r="H81" s="32">
        <f t="shared" si="13"/>
        <v>94765.273311897108</v>
      </c>
      <c r="I81" s="32">
        <f t="shared" si="13"/>
        <v>102604.00692555035</v>
      </c>
      <c r="J81" s="32">
        <f t="shared" si="13"/>
        <v>93319.812020776648</v>
      </c>
      <c r="K81" s="32">
        <f t="shared" si="13"/>
        <v>92295.81993569131</v>
      </c>
      <c r="L81" s="32">
        <f t="shared" si="13"/>
        <v>46147.909967845662</v>
      </c>
      <c r="M81" s="32">
        <f t="shared" si="13"/>
        <v>0</v>
      </c>
    </row>
    <row r="82" spans="1:13" x14ac:dyDescent="0.3">
      <c r="A82" s="18"/>
      <c r="B82" s="18"/>
      <c r="D82" s="21"/>
      <c r="E82" s="21"/>
      <c r="F82" s="21"/>
      <c r="G82" s="21"/>
      <c r="H82" s="21"/>
      <c r="I82" s="21"/>
      <c r="J82" s="21"/>
      <c r="K82" s="21"/>
      <c r="L82" s="21"/>
      <c r="M82" s="21"/>
    </row>
    <row r="83" spans="1:13" x14ac:dyDescent="0.3">
      <c r="A83" s="31" t="s">
        <v>19</v>
      </c>
      <c r="B83" s="18"/>
      <c r="D83" s="21"/>
      <c r="E83" s="21"/>
      <c r="F83" s="21"/>
      <c r="G83" s="21"/>
      <c r="H83" s="21"/>
      <c r="I83" s="21"/>
      <c r="J83" s="21"/>
      <c r="K83" s="21"/>
      <c r="L83" s="21"/>
      <c r="M83" s="21"/>
    </row>
    <row r="84" spans="1:13" s="103" customFormat="1" x14ac:dyDescent="0.3">
      <c r="A84" s="151" t="str">
        <f>'Results &amp; Common Inputs'!A42</f>
        <v>Debtors (who owe you cash)</v>
      </c>
      <c r="B84" s="151" t="str">
        <f>'Results &amp; Common Inputs'!B42</f>
        <v>days</v>
      </c>
      <c r="C84" s="151"/>
      <c r="D84" s="113">
        <f>'Results &amp; Common Inputs'!D42</f>
        <v>30</v>
      </c>
      <c r="E84" s="113">
        <f>'Results &amp; Common Inputs'!E42</f>
        <v>30</v>
      </c>
      <c r="F84" s="113">
        <f>'Results &amp; Common Inputs'!F42</f>
        <v>30</v>
      </c>
      <c r="G84" s="113">
        <f>'Results &amp; Common Inputs'!G42</f>
        <v>30</v>
      </c>
      <c r="H84" s="113">
        <f>'Results &amp; Common Inputs'!H42</f>
        <v>30</v>
      </c>
      <c r="I84" s="113">
        <f>'Results &amp; Common Inputs'!I42</f>
        <v>30</v>
      </c>
      <c r="J84" s="113">
        <f>'Results &amp; Common Inputs'!J42</f>
        <v>30</v>
      </c>
      <c r="K84" s="113">
        <f>'Results &amp; Common Inputs'!K42</f>
        <v>30</v>
      </c>
      <c r="L84" s="113">
        <f>'Results &amp; Common Inputs'!L42</f>
        <v>30</v>
      </c>
      <c r="M84" s="113">
        <f>'Results &amp; Common Inputs'!M42</f>
        <v>30</v>
      </c>
    </row>
    <row r="85" spans="1:13" ht="13.5" thickBot="1" x14ac:dyDescent="0.35">
      <c r="A85" s="17" t="s">
        <v>21</v>
      </c>
      <c r="B85" s="17" t="s">
        <v>124</v>
      </c>
      <c r="C85" s="32"/>
      <c r="D85" s="33">
        <f t="shared" ref="D85:M85" si="14">IF(E72=0,0,D81*D84/365)</f>
        <v>0</v>
      </c>
      <c r="E85" s="33">
        <f t="shared" si="14"/>
        <v>0</v>
      </c>
      <c r="F85" s="33">
        <f t="shared" si="14"/>
        <v>0</v>
      </c>
      <c r="G85" s="33">
        <f t="shared" si="14"/>
        <v>3806.640261029549</v>
      </c>
      <c r="H85" s="33">
        <f t="shared" si="14"/>
        <v>7788.9265735805839</v>
      </c>
      <c r="I85" s="33">
        <f t="shared" si="14"/>
        <v>8433.2060486753708</v>
      </c>
      <c r="J85" s="33">
        <f t="shared" si="14"/>
        <v>7670.1215359542457</v>
      </c>
      <c r="K85" s="33">
        <f t="shared" si="14"/>
        <v>7585.9578029335325</v>
      </c>
      <c r="L85" s="33">
        <f t="shared" si="14"/>
        <v>0</v>
      </c>
      <c r="M85" s="33">
        <f t="shared" si="14"/>
        <v>0</v>
      </c>
    </row>
    <row r="86" spans="1:13" ht="13.5" thickBot="1" x14ac:dyDescent="0.35">
      <c r="A86" s="17" t="s">
        <v>104</v>
      </c>
      <c r="B86" s="17" t="s">
        <v>124</v>
      </c>
      <c r="C86" s="32">
        <f>SUM(D86:M86)</f>
        <v>0</v>
      </c>
      <c r="D86" s="22">
        <v>0</v>
      </c>
      <c r="E86" s="157">
        <f>E85-D85</f>
        <v>0</v>
      </c>
      <c r="F86" s="37">
        <f>F85-E85</f>
        <v>0</v>
      </c>
      <c r="G86" s="37">
        <f t="shared" ref="G86:M86" si="15">G85-F85</f>
        <v>3806.640261029549</v>
      </c>
      <c r="H86" s="37">
        <f t="shared" si="15"/>
        <v>3982.2863125510348</v>
      </c>
      <c r="I86" s="37">
        <f t="shared" si="15"/>
        <v>644.2794750947869</v>
      </c>
      <c r="J86" s="37">
        <f t="shared" si="15"/>
        <v>-763.08451272112507</v>
      </c>
      <c r="K86" s="37">
        <f t="shared" si="15"/>
        <v>-84.163733020713153</v>
      </c>
      <c r="L86" s="37">
        <f t="shared" si="15"/>
        <v>-7585.9578029335325</v>
      </c>
      <c r="M86" s="37">
        <f t="shared" si="15"/>
        <v>0</v>
      </c>
    </row>
    <row r="87" spans="1:13" ht="13.5" customHeight="1" x14ac:dyDescent="0.3">
      <c r="A87" s="18"/>
      <c r="B87" s="18"/>
      <c r="D87" s="21"/>
      <c r="E87" s="21"/>
      <c r="F87" s="21"/>
      <c r="G87" s="21"/>
      <c r="H87" s="21"/>
      <c r="I87" s="21"/>
      <c r="J87" s="21"/>
      <c r="K87" s="21"/>
      <c r="L87" s="21"/>
      <c r="M87" s="21"/>
    </row>
    <row r="88" spans="1:13" ht="15.5" x14ac:dyDescent="0.35">
      <c r="A88" s="107" t="s">
        <v>141</v>
      </c>
      <c r="B88" s="17" t="s">
        <v>124</v>
      </c>
      <c r="C88" s="155">
        <f>SUM(D88:M88)</f>
        <v>475446.94533762056</v>
      </c>
      <c r="D88" s="108">
        <f t="shared" ref="D88:M88" si="16">D81-D86</f>
        <v>0</v>
      </c>
      <c r="E88" s="108">
        <f t="shared" si="16"/>
        <v>0</v>
      </c>
      <c r="F88" s="108">
        <f t="shared" si="16"/>
        <v>0</v>
      </c>
      <c r="G88" s="108">
        <f t="shared" si="16"/>
        <v>42507.482914829961</v>
      </c>
      <c r="H88" s="108">
        <f t="shared" si="16"/>
        <v>90782.986999346074</v>
      </c>
      <c r="I88" s="108">
        <f t="shared" si="16"/>
        <v>101959.72745045557</v>
      </c>
      <c r="J88" s="108">
        <f t="shared" si="16"/>
        <v>94082.896533497769</v>
      </c>
      <c r="K88" s="108">
        <f t="shared" si="16"/>
        <v>92379.983668712026</v>
      </c>
      <c r="L88" s="108">
        <f t="shared" si="16"/>
        <v>53733.867770779194</v>
      </c>
      <c r="M88" s="108">
        <f t="shared" si="16"/>
        <v>0</v>
      </c>
    </row>
    <row r="89" spans="1:13" ht="23.5" customHeight="1" x14ac:dyDescent="0.3">
      <c r="C89" s="32"/>
      <c r="D89" s="32"/>
      <c r="E89" s="32"/>
      <c r="F89" s="32"/>
      <c r="G89" s="32"/>
      <c r="H89" s="32"/>
      <c r="I89" s="32"/>
      <c r="J89" s="32"/>
      <c r="K89" s="32"/>
      <c r="L89" s="32"/>
      <c r="M89" s="32"/>
    </row>
    <row r="90" spans="1:13" s="183" customFormat="1" ht="27.5" customHeight="1" x14ac:dyDescent="0.35">
      <c r="A90" s="180" t="str">
        <f>'Results &amp; Common Inputs'!A$28</f>
        <v>Life of Business</v>
      </c>
      <c r="B90" s="180" t="str">
        <f>'Results &amp; Common Inputs'!B$28</f>
        <v>units</v>
      </c>
      <c r="C90" s="181" t="str">
        <f>'Results &amp; Common Inputs'!C$28</f>
        <v>Total</v>
      </c>
      <c r="D90" s="182">
        <f>'Results &amp; Common Inputs'!D$28</f>
        <v>2026</v>
      </c>
      <c r="E90" s="182">
        <f>'Results &amp; Common Inputs'!E$28</f>
        <v>2027</v>
      </c>
      <c r="F90" s="182">
        <f>'Results &amp; Common Inputs'!F$28</f>
        <v>2028</v>
      </c>
      <c r="G90" s="182">
        <f>'Results &amp; Common Inputs'!G$28</f>
        <v>2029</v>
      </c>
      <c r="H90" s="182">
        <f>'Results &amp; Common Inputs'!H$28</f>
        <v>2030</v>
      </c>
      <c r="I90" s="182">
        <f>'Results &amp; Common Inputs'!I$28</f>
        <v>2031</v>
      </c>
      <c r="J90" s="182">
        <f>'Results &amp; Common Inputs'!J$28</f>
        <v>2032</v>
      </c>
      <c r="K90" s="182">
        <f>'Results &amp; Common Inputs'!K$28</f>
        <v>2033</v>
      </c>
      <c r="L90" s="182">
        <f>'Results &amp; Common Inputs'!L$28</f>
        <v>2034</v>
      </c>
      <c r="M90" s="182">
        <f>'Results &amp; Common Inputs'!M$28</f>
        <v>2035</v>
      </c>
    </row>
    <row r="91" spans="1:13" s="63" customFormat="1" ht="43.75" customHeight="1" x14ac:dyDescent="0.35">
      <c r="A91" s="98" t="s">
        <v>22</v>
      </c>
      <c r="C91" s="64"/>
      <c r="D91" s="64"/>
      <c r="E91" s="64"/>
      <c r="F91" s="64"/>
      <c r="G91" s="64"/>
      <c r="H91" s="64"/>
      <c r="I91" s="64"/>
      <c r="J91" s="64"/>
      <c r="K91" s="64"/>
      <c r="L91" s="64"/>
      <c r="M91" s="64"/>
    </row>
    <row r="92" spans="1:13" x14ac:dyDescent="0.3">
      <c r="A92" s="31" t="s">
        <v>50</v>
      </c>
      <c r="B92" s="18"/>
      <c r="D92" s="21"/>
      <c r="E92" s="21"/>
      <c r="F92" s="21"/>
      <c r="G92" s="21"/>
      <c r="H92" s="21"/>
      <c r="I92" s="21"/>
      <c r="J92" s="21"/>
      <c r="K92" s="21"/>
      <c r="L92" s="21"/>
      <c r="M92" s="21"/>
    </row>
    <row r="93" spans="1:13" x14ac:dyDescent="0.3">
      <c r="A93" s="92" t="s">
        <v>244</v>
      </c>
      <c r="C93" s="11"/>
    </row>
    <row r="94" spans="1:13" x14ac:dyDescent="0.3">
      <c r="A94" s="121" t="s">
        <v>48</v>
      </c>
      <c r="B94" s="121" t="s">
        <v>124</v>
      </c>
      <c r="C94" s="33">
        <f>SUM(D94:M94)</f>
        <v>2000</v>
      </c>
      <c r="D94" s="123">
        <v>2000</v>
      </c>
      <c r="E94" s="123"/>
      <c r="F94" s="123"/>
      <c r="G94" s="123"/>
      <c r="H94" s="123"/>
      <c r="I94" s="123"/>
      <c r="J94" s="123"/>
      <c r="K94" s="123"/>
      <c r="L94" s="123"/>
      <c r="M94" s="123"/>
    </row>
    <row r="95" spans="1:13" x14ac:dyDescent="0.3">
      <c r="A95" s="121" t="s">
        <v>134</v>
      </c>
      <c r="B95" s="121" t="s">
        <v>124</v>
      </c>
      <c r="C95" s="33"/>
      <c r="D95" s="123"/>
      <c r="E95" s="123"/>
      <c r="F95" s="123">
        <v>8000</v>
      </c>
      <c r="G95" s="123"/>
      <c r="H95" s="123"/>
      <c r="I95" s="123"/>
      <c r="J95" s="123"/>
      <c r="K95" s="123"/>
      <c r="L95" s="123"/>
      <c r="M95" s="123"/>
    </row>
    <row r="96" spans="1:13" x14ac:dyDescent="0.3">
      <c r="A96" s="121" t="s">
        <v>82</v>
      </c>
      <c r="B96" s="121" t="s">
        <v>124</v>
      </c>
      <c r="C96" s="33">
        <f t="shared" ref="C96:C101" si="17">SUM(D96:M96)</f>
        <v>2000</v>
      </c>
      <c r="D96" s="123"/>
      <c r="E96" s="123">
        <v>2000</v>
      </c>
      <c r="F96" s="123"/>
      <c r="G96" s="123"/>
      <c r="H96" s="123"/>
      <c r="I96" s="123"/>
      <c r="J96" s="123"/>
      <c r="K96" s="123"/>
      <c r="L96" s="123"/>
      <c r="M96" s="123"/>
    </row>
    <row r="97" spans="1:13" x14ac:dyDescent="0.3">
      <c r="A97" s="121" t="s">
        <v>83</v>
      </c>
      <c r="B97" s="121" t="s">
        <v>124</v>
      </c>
      <c r="C97" s="33">
        <f t="shared" si="17"/>
        <v>11000</v>
      </c>
      <c r="D97" s="123"/>
      <c r="E97" s="123">
        <v>6000</v>
      </c>
      <c r="F97" s="123">
        <v>5000</v>
      </c>
      <c r="G97" s="123"/>
      <c r="H97" s="123"/>
      <c r="I97" s="123"/>
      <c r="J97" s="123"/>
      <c r="K97" s="123"/>
      <c r="L97" s="123"/>
      <c r="M97" s="123"/>
    </row>
    <row r="98" spans="1:13" x14ac:dyDescent="0.3">
      <c r="A98" s="121" t="s">
        <v>84</v>
      </c>
      <c r="B98" s="121" t="s">
        <v>124</v>
      </c>
      <c r="C98" s="33">
        <f t="shared" si="17"/>
        <v>8000</v>
      </c>
      <c r="D98" s="123"/>
      <c r="E98" s="123">
        <v>5000</v>
      </c>
      <c r="F98" s="123">
        <v>3000</v>
      </c>
      <c r="G98" s="123"/>
      <c r="H98" s="123"/>
      <c r="I98" s="123"/>
      <c r="J98" s="123"/>
      <c r="K98" s="123"/>
      <c r="L98" s="123"/>
      <c r="M98" s="123"/>
    </row>
    <row r="99" spans="1:13" x14ac:dyDescent="0.3">
      <c r="A99" s="121" t="s">
        <v>85</v>
      </c>
      <c r="B99" s="121" t="s">
        <v>124</v>
      </c>
      <c r="C99" s="33">
        <f t="shared" si="17"/>
        <v>4000</v>
      </c>
      <c r="D99" s="123"/>
      <c r="E99" s="123">
        <v>3000</v>
      </c>
      <c r="F99" s="123">
        <v>1000</v>
      </c>
      <c r="G99" s="123"/>
      <c r="H99" s="123"/>
      <c r="I99" s="123"/>
      <c r="J99" s="123"/>
      <c r="K99" s="123"/>
      <c r="L99" s="123"/>
      <c r="M99" s="123"/>
    </row>
    <row r="100" spans="1:13" x14ac:dyDescent="0.3">
      <c r="A100" s="121" t="s">
        <v>86</v>
      </c>
      <c r="B100" s="121" t="s">
        <v>124</v>
      </c>
      <c r="C100" s="33">
        <f t="shared" si="17"/>
        <v>4500</v>
      </c>
      <c r="D100" s="123"/>
      <c r="E100" s="123">
        <v>3000</v>
      </c>
      <c r="F100" s="123">
        <v>1500</v>
      </c>
      <c r="G100" s="123"/>
      <c r="H100" s="123"/>
      <c r="I100" s="123"/>
      <c r="J100" s="123"/>
      <c r="K100" s="123"/>
      <c r="L100" s="123"/>
      <c r="M100" s="123"/>
    </row>
    <row r="101" spans="1:13" x14ac:dyDescent="0.3">
      <c r="A101" s="121" t="s">
        <v>117</v>
      </c>
      <c r="B101" s="121" t="s">
        <v>124</v>
      </c>
      <c r="C101" s="33">
        <f t="shared" si="17"/>
        <v>3500</v>
      </c>
      <c r="D101" s="123"/>
      <c r="E101" s="123">
        <v>2000</v>
      </c>
      <c r="F101" s="123">
        <v>1500</v>
      </c>
      <c r="G101" s="123"/>
      <c r="H101" s="123"/>
      <c r="I101" s="123"/>
      <c r="J101" s="123"/>
      <c r="K101" s="123"/>
      <c r="L101" s="123"/>
      <c r="M101" s="123"/>
    </row>
    <row r="102" spans="1:13" s="35" customFormat="1" x14ac:dyDescent="0.3">
      <c r="A102" s="34" t="s">
        <v>49</v>
      </c>
      <c r="B102" s="17" t="s">
        <v>124</v>
      </c>
      <c r="C102" s="32">
        <f>SUM(D102:M102)</f>
        <v>43000</v>
      </c>
      <c r="D102" s="79">
        <f>SUM(D94:D101)</f>
        <v>2000</v>
      </c>
      <c r="E102" s="79">
        <f t="shared" ref="E102:M102" si="18">SUM(E94:E101)</f>
        <v>21000</v>
      </c>
      <c r="F102" s="79">
        <f t="shared" si="18"/>
        <v>20000</v>
      </c>
      <c r="G102" s="79">
        <f>SUM(G94:G101)</f>
        <v>0</v>
      </c>
      <c r="H102" s="79">
        <f t="shared" si="18"/>
        <v>0</v>
      </c>
      <c r="I102" s="79">
        <f t="shared" si="18"/>
        <v>0</v>
      </c>
      <c r="J102" s="79">
        <f t="shared" si="18"/>
        <v>0</v>
      </c>
      <c r="K102" s="79">
        <f t="shared" si="18"/>
        <v>0</v>
      </c>
      <c r="L102" s="79">
        <f t="shared" si="18"/>
        <v>0</v>
      </c>
      <c r="M102" s="79">
        <f t="shared" si="18"/>
        <v>0</v>
      </c>
    </row>
    <row r="103" spans="1:13" x14ac:dyDescent="0.3">
      <c r="C103" s="33"/>
      <c r="D103" s="33"/>
      <c r="E103" s="33"/>
      <c r="F103" s="33"/>
      <c r="G103" s="33"/>
      <c r="H103" s="33"/>
      <c r="I103" s="33"/>
      <c r="J103" s="33"/>
      <c r="K103" s="33"/>
      <c r="L103" s="33"/>
      <c r="M103" s="33"/>
    </row>
    <row r="104" spans="1:13" x14ac:dyDescent="0.3">
      <c r="A104" s="31" t="s">
        <v>51</v>
      </c>
      <c r="B104" s="18"/>
      <c r="D104" s="21"/>
      <c r="E104" s="21"/>
      <c r="F104" s="21"/>
      <c r="G104" s="21"/>
      <c r="H104" s="21"/>
      <c r="I104" s="21"/>
      <c r="J104" s="21"/>
      <c r="K104" s="21"/>
      <c r="L104" s="21"/>
      <c r="M104" s="21"/>
    </row>
    <row r="105" spans="1:13" x14ac:dyDescent="0.3">
      <c r="A105" s="92" t="s">
        <v>200</v>
      </c>
      <c r="C105" s="11"/>
    </row>
    <row r="106" spans="1:13" x14ac:dyDescent="0.3">
      <c r="A106" s="121" t="s">
        <v>87</v>
      </c>
      <c r="B106" s="121" t="s">
        <v>124</v>
      </c>
      <c r="C106" s="33">
        <f>SUM(D106:M106)</f>
        <v>1500</v>
      </c>
      <c r="D106" s="123"/>
      <c r="E106" s="123"/>
      <c r="F106" s="123"/>
      <c r="G106" s="123"/>
      <c r="H106" s="123"/>
      <c r="I106" s="123">
        <v>1500</v>
      </c>
      <c r="J106" s="123"/>
      <c r="K106" s="123"/>
      <c r="L106" s="123"/>
      <c r="M106" s="123"/>
    </row>
    <row r="107" spans="1:13" ht="7.25" customHeight="1" x14ac:dyDescent="0.3">
      <c r="C107" s="33"/>
      <c r="D107" s="33"/>
      <c r="E107" s="33"/>
      <c r="F107" s="33"/>
      <c r="G107" s="33"/>
      <c r="H107" s="33"/>
      <c r="I107" s="33"/>
      <c r="J107" s="33"/>
      <c r="K107" s="33"/>
      <c r="L107" s="33"/>
      <c r="M107" s="33"/>
    </row>
    <row r="108" spans="1:13" x14ac:dyDescent="0.3">
      <c r="A108" s="121" t="s">
        <v>118</v>
      </c>
      <c r="B108" s="121" t="s">
        <v>52</v>
      </c>
      <c r="C108" s="33"/>
      <c r="D108" s="158">
        <v>0.15</v>
      </c>
      <c r="E108" s="158">
        <f>D108</f>
        <v>0.15</v>
      </c>
      <c r="F108" s="158">
        <f t="shared" ref="F108:M108" si="19">E108</f>
        <v>0.15</v>
      </c>
      <c r="G108" s="158">
        <f t="shared" si="19"/>
        <v>0.15</v>
      </c>
      <c r="H108" s="158">
        <f t="shared" si="19"/>
        <v>0.15</v>
      </c>
      <c r="I108" s="158">
        <f t="shared" si="19"/>
        <v>0.15</v>
      </c>
      <c r="J108" s="158">
        <f t="shared" si="19"/>
        <v>0.15</v>
      </c>
      <c r="K108" s="158">
        <f t="shared" si="19"/>
        <v>0.15</v>
      </c>
      <c r="L108" s="158">
        <f t="shared" si="19"/>
        <v>0.15</v>
      </c>
      <c r="M108" s="158">
        <f t="shared" si="19"/>
        <v>0.15</v>
      </c>
    </row>
    <row r="109" spans="1:13" x14ac:dyDescent="0.3">
      <c r="A109" s="17" t="s">
        <v>53</v>
      </c>
      <c r="B109" s="17" t="s">
        <v>124</v>
      </c>
      <c r="C109" s="33">
        <f>SUM(D109:M109)</f>
        <v>38700</v>
      </c>
      <c r="D109" s="33">
        <f t="shared" ref="D109:M109" si="20">IF(D72=0,0,$C102*D108)</f>
        <v>0</v>
      </c>
      <c r="E109" s="33">
        <f t="shared" si="20"/>
        <v>0</v>
      </c>
      <c r="F109" s="33">
        <f t="shared" si="20"/>
        <v>0</v>
      </c>
      <c r="G109" s="33">
        <f t="shared" si="20"/>
        <v>6450</v>
      </c>
      <c r="H109" s="33">
        <f t="shared" si="20"/>
        <v>6450</v>
      </c>
      <c r="I109" s="33">
        <f t="shared" si="20"/>
        <v>6450</v>
      </c>
      <c r="J109" s="33">
        <f t="shared" si="20"/>
        <v>6450</v>
      </c>
      <c r="K109" s="33">
        <f t="shared" si="20"/>
        <v>6450</v>
      </c>
      <c r="L109" s="33">
        <f t="shared" si="20"/>
        <v>6450</v>
      </c>
      <c r="M109" s="33">
        <f t="shared" si="20"/>
        <v>0</v>
      </c>
    </row>
    <row r="110" spans="1:13" ht="7.75" customHeight="1" x14ac:dyDescent="0.3">
      <c r="C110" s="33"/>
      <c r="D110" s="33"/>
      <c r="E110" s="33"/>
      <c r="F110" s="33"/>
      <c r="G110" s="33"/>
      <c r="H110" s="33"/>
      <c r="I110" s="33"/>
      <c r="J110" s="33"/>
      <c r="K110" s="33"/>
      <c r="L110" s="33"/>
      <c r="M110" s="33"/>
    </row>
    <row r="111" spans="1:13" s="35" customFormat="1" x14ac:dyDescent="0.3">
      <c r="A111" s="34" t="s">
        <v>88</v>
      </c>
      <c r="B111" s="17" t="s">
        <v>124</v>
      </c>
      <c r="C111" s="32">
        <f>SUM(D111:M111)</f>
        <v>40200</v>
      </c>
      <c r="D111" s="79">
        <f t="shared" ref="D111:M111" si="21">D106+D109</f>
        <v>0</v>
      </c>
      <c r="E111" s="79">
        <f t="shared" si="21"/>
        <v>0</v>
      </c>
      <c r="F111" s="79">
        <f t="shared" si="21"/>
        <v>0</v>
      </c>
      <c r="G111" s="79">
        <f t="shared" si="21"/>
        <v>6450</v>
      </c>
      <c r="H111" s="79">
        <f t="shared" si="21"/>
        <v>6450</v>
      </c>
      <c r="I111" s="79">
        <f t="shared" si="21"/>
        <v>7950</v>
      </c>
      <c r="J111" s="79">
        <f t="shared" si="21"/>
        <v>6450</v>
      </c>
      <c r="K111" s="79">
        <f t="shared" si="21"/>
        <v>6450</v>
      </c>
      <c r="L111" s="79">
        <f t="shared" si="21"/>
        <v>6450</v>
      </c>
      <c r="M111" s="79">
        <f t="shared" si="21"/>
        <v>0</v>
      </c>
    </row>
    <row r="112" spans="1:13" x14ac:dyDescent="0.3">
      <c r="C112" s="33"/>
      <c r="D112" s="33"/>
      <c r="E112" s="33"/>
      <c r="F112" s="33"/>
      <c r="G112" s="33"/>
      <c r="H112" s="33"/>
      <c r="I112" s="33"/>
      <c r="J112" s="33"/>
      <c r="K112" s="33"/>
      <c r="L112" s="33"/>
      <c r="M112" s="33"/>
    </row>
    <row r="113" spans="1:13" ht="15.5" x14ac:dyDescent="0.35">
      <c r="A113" s="107" t="s">
        <v>142</v>
      </c>
      <c r="B113" s="17" t="s">
        <v>124</v>
      </c>
      <c r="C113" s="155">
        <f>SUM(D113:M113)</f>
        <v>83200</v>
      </c>
      <c r="D113" s="108">
        <f t="shared" ref="D113:M113" si="22">D102+D111</f>
        <v>2000</v>
      </c>
      <c r="E113" s="108">
        <f t="shared" si="22"/>
        <v>21000</v>
      </c>
      <c r="F113" s="108">
        <f t="shared" si="22"/>
        <v>20000</v>
      </c>
      <c r="G113" s="108">
        <f t="shared" si="22"/>
        <v>6450</v>
      </c>
      <c r="H113" s="108">
        <f t="shared" si="22"/>
        <v>6450</v>
      </c>
      <c r="I113" s="108">
        <f t="shared" si="22"/>
        <v>7950</v>
      </c>
      <c r="J113" s="108">
        <f t="shared" si="22"/>
        <v>6450</v>
      </c>
      <c r="K113" s="108">
        <f t="shared" si="22"/>
        <v>6450</v>
      </c>
      <c r="L113" s="108">
        <f t="shared" si="22"/>
        <v>6450</v>
      </c>
      <c r="M113" s="108">
        <f t="shared" si="22"/>
        <v>0</v>
      </c>
    </row>
    <row r="114" spans="1:13" ht="10" customHeight="1" x14ac:dyDescent="0.3">
      <c r="A114" s="18"/>
      <c r="B114" s="18"/>
      <c r="D114" s="21"/>
      <c r="E114" s="21"/>
      <c r="F114" s="21"/>
      <c r="G114" s="21"/>
      <c r="H114" s="21"/>
      <c r="I114" s="21"/>
      <c r="J114" s="21"/>
      <c r="K114" s="21"/>
      <c r="L114" s="21"/>
      <c r="M114" s="21"/>
    </row>
    <row r="115" spans="1:13" ht="28.5" customHeight="1" x14ac:dyDescent="0.35">
      <c r="A115" s="109" t="s">
        <v>23</v>
      </c>
      <c r="B115" s="18"/>
      <c r="D115" s="21"/>
      <c r="E115" s="21"/>
      <c r="F115" s="21"/>
      <c r="G115" s="21"/>
      <c r="H115" s="21"/>
      <c r="I115" s="21"/>
      <c r="J115" s="21"/>
      <c r="K115" s="21"/>
      <c r="L115" s="21"/>
      <c r="M115" s="21"/>
    </row>
    <row r="116" spans="1:13" x14ac:dyDescent="0.3">
      <c r="A116" s="58" t="s">
        <v>202</v>
      </c>
      <c r="C116" s="11"/>
    </row>
    <row r="117" spans="1:13" x14ac:dyDescent="0.3">
      <c r="A117" s="58" t="s">
        <v>203</v>
      </c>
      <c r="C117" s="11"/>
    </row>
    <row r="118" spans="1:13" x14ac:dyDescent="0.3">
      <c r="A118" s="58" t="s">
        <v>204</v>
      </c>
      <c r="C118" s="11"/>
    </row>
    <row r="119" spans="1:13" x14ac:dyDescent="0.3">
      <c r="A119" s="92" t="s">
        <v>205</v>
      </c>
      <c r="C119" s="11"/>
    </row>
    <row r="120" spans="1:13" x14ac:dyDescent="0.3">
      <c r="A120" s="92" t="s">
        <v>206</v>
      </c>
      <c r="C120" s="11"/>
    </row>
    <row r="121" spans="1:13" x14ac:dyDescent="0.3">
      <c r="A121" s="58" t="s">
        <v>207</v>
      </c>
      <c r="C121" s="11"/>
    </row>
    <row r="122" spans="1:13" x14ac:dyDescent="0.3">
      <c r="A122" s="56" t="s">
        <v>24</v>
      </c>
      <c r="B122" s="56" t="s">
        <v>54</v>
      </c>
      <c r="C122" s="33"/>
      <c r="D122" s="57">
        <f>1/6*150%</f>
        <v>0.25</v>
      </c>
      <c r="E122" s="57">
        <f>D122</f>
        <v>0.25</v>
      </c>
      <c r="F122" s="57">
        <f t="shared" ref="F122:M122" si="23">E122</f>
        <v>0.25</v>
      </c>
      <c r="G122" s="57">
        <f t="shared" si="23"/>
        <v>0.25</v>
      </c>
      <c r="H122" s="57">
        <f t="shared" si="23"/>
        <v>0.25</v>
      </c>
      <c r="I122" s="57">
        <f t="shared" si="23"/>
        <v>0.25</v>
      </c>
      <c r="J122" s="57">
        <f t="shared" si="23"/>
        <v>0.25</v>
      </c>
      <c r="K122" s="57">
        <f t="shared" si="23"/>
        <v>0.25</v>
      </c>
      <c r="L122" s="57">
        <f t="shared" si="23"/>
        <v>0.25</v>
      </c>
      <c r="M122" s="57">
        <f t="shared" si="23"/>
        <v>0.25</v>
      </c>
    </row>
    <row r="123" spans="1:13" x14ac:dyDescent="0.3">
      <c r="C123" s="33"/>
      <c r="D123" s="33"/>
      <c r="E123" s="33"/>
      <c r="F123" s="33"/>
      <c r="G123" s="33"/>
      <c r="H123" s="33"/>
      <c r="I123" s="33"/>
      <c r="J123" s="33"/>
      <c r="K123" s="33"/>
      <c r="L123" s="33"/>
      <c r="M123" s="33"/>
    </row>
    <row r="124" spans="1:13" x14ac:dyDescent="0.3">
      <c r="A124" s="58" t="s">
        <v>201</v>
      </c>
      <c r="C124" s="11"/>
    </row>
    <row r="125" spans="1:13" x14ac:dyDescent="0.3">
      <c r="A125" s="92" t="s">
        <v>185</v>
      </c>
      <c r="B125" s="18"/>
      <c r="D125" s="21"/>
      <c r="E125" s="21"/>
      <c r="F125" s="21"/>
      <c r="G125" s="21"/>
      <c r="H125" s="21"/>
      <c r="I125" s="21"/>
      <c r="J125" s="21"/>
      <c r="K125" s="21"/>
      <c r="L125" s="21"/>
      <c r="M125" s="21"/>
    </row>
    <row r="126" spans="1:13" s="161" customFormat="1" ht="13.5" thickBot="1" x14ac:dyDescent="0.35">
      <c r="A126" s="159" t="str">
        <f>'Results &amp; Common Inputs'!A$33</f>
        <v xml:space="preserve">Inflation rate </v>
      </c>
      <c r="B126" s="159" t="str">
        <f>'Results &amp; Common Inputs'!B$33</f>
        <v>% Real</v>
      </c>
      <c r="C126" s="159"/>
      <c r="D126" s="160">
        <f>'Results &amp; Common Inputs'!D$33</f>
        <v>0.02</v>
      </c>
      <c r="E126" s="160">
        <f>'Results &amp; Common Inputs'!E$33</f>
        <v>0.02</v>
      </c>
      <c r="F126" s="160">
        <f>'Results &amp; Common Inputs'!F$33</f>
        <v>0.02</v>
      </c>
      <c r="G126" s="160">
        <f>'Results &amp; Common Inputs'!G$33</f>
        <v>0.02</v>
      </c>
      <c r="H126" s="160">
        <f>'Results &amp; Common Inputs'!H$33</f>
        <v>0.02</v>
      </c>
      <c r="I126" s="160">
        <f>'Results &amp; Common Inputs'!I$33</f>
        <v>0.02</v>
      </c>
      <c r="J126" s="160">
        <f>'Results &amp; Common Inputs'!J$33</f>
        <v>0.02</v>
      </c>
      <c r="K126" s="160">
        <f>'Results &amp; Common Inputs'!K$33</f>
        <v>0.02</v>
      </c>
      <c r="L126" s="160">
        <f>'Results &amp; Common Inputs'!L$33</f>
        <v>0.02</v>
      </c>
      <c r="M126" s="160">
        <f>'Results &amp; Common Inputs'!M$33</f>
        <v>0.02</v>
      </c>
    </row>
    <row r="127" spans="1:13" s="65" customFormat="1" ht="13.5" thickBot="1" x14ac:dyDescent="0.35">
      <c r="A127" s="65" t="s">
        <v>119</v>
      </c>
      <c r="C127" s="66"/>
      <c r="D127" s="69">
        <f>(1+D126)^0.5</f>
        <v>1.0099504938362078</v>
      </c>
      <c r="E127" s="67">
        <f>D127*(1+E126)</f>
        <v>1.030149503712932</v>
      </c>
      <c r="F127" s="67">
        <f t="shared" ref="F127:M127" si="24">E127*(1+F126)</f>
        <v>1.0507524937871906</v>
      </c>
      <c r="G127" s="67">
        <f t="shared" si="24"/>
        <v>1.0717675436629344</v>
      </c>
      <c r="H127" s="67">
        <f t="shared" si="24"/>
        <v>1.0932028945361931</v>
      </c>
      <c r="I127" s="67">
        <f t="shared" si="24"/>
        <v>1.115066952426917</v>
      </c>
      <c r="J127" s="67">
        <f t="shared" si="24"/>
        <v>1.1373682914754553</v>
      </c>
      <c r="K127" s="67">
        <f t="shared" si="24"/>
        <v>1.1601156573049645</v>
      </c>
      <c r="L127" s="67">
        <f t="shared" si="24"/>
        <v>1.1833179704510637</v>
      </c>
      <c r="M127" s="67">
        <f t="shared" si="24"/>
        <v>1.2069843298600851</v>
      </c>
    </row>
    <row r="128" spans="1:13" s="144" customFormat="1" x14ac:dyDescent="0.3">
      <c r="A128" s="144" t="s">
        <v>120</v>
      </c>
      <c r="B128" s="144" t="s">
        <v>192</v>
      </c>
      <c r="C128" s="71">
        <f>SUM(D128:M128)</f>
        <v>89948.104418609233</v>
      </c>
      <c r="D128" s="71">
        <f>D113*D127</f>
        <v>2019.9009876724156</v>
      </c>
      <c r="E128" s="71">
        <f t="shared" ref="E128:M128" si="25">E113*E127</f>
        <v>21633.139577971571</v>
      </c>
      <c r="F128" s="71">
        <f t="shared" si="25"/>
        <v>21015.049875743811</v>
      </c>
      <c r="G128" s="71">
        <f t="shared" si="25"/>
        <v>6912.9006566259268</v>
      </c>
      <c r="H128" s="71">
        <f t="shared" si="25"/>
        <v>7051.1586697584453</v>
      </c>
      <c r="I128" s="71">
        <f t="shared" si="25"/>
        <v>8864.7822717939907</v>
      </c>
      <c r="J128" s="71">
        <f t="shared" si="25"/>
        <v>7336.0254800166867</v>
      </c>
      <c r="K128" s="71">
        <f t="shared" si="25"/>
        <v>7482.7459896170212</v>
      </c>
      <c r="L128" s="71">
        <f t="shared" si="25"/>
        <v>7632.4009094093608</v>
      </c>
      <c r="M128" s="71">
        <f t="shared" si="25"/>
        <v>0</v>
      </c>
    </row>
    <row r="129" spans="1:13" ht="13.5" thickBot="1" x14ac:dyDescent="0.35">
      <c r="A129" s="92" t="s">
        <v>208</v>
      </c>
      <c r="C129" s="33"/>
      <c r="D129" s="33"/>
      <c r="E129" s="33"/>
      <c r="F129" s="33"/>
      <c r="G129" s="33"/>
      <c r="H129" s="33"/>
      <c r="I129" s="33"/>
      <c r="J129" s="33"/>
      <c r="K129" s="33"/>
      <c r="L129" s="33"/>
      <c r="M129" s="33"/>
    </row>
    <row r="130" spans="1:13" s="65" customFormat="1" ht="13.5" thickBot="1" x14ac:dyDescent="0.35">
      <c r="A130" s="65" t="s">
        <v>55</v>
      </c>
      <c r="B130" s="65" t="s">
        <v>192</v>
      </c>
      <c r="C130" s="68"/>
      <c r="D130" s="162">
        <v>12</v>
      </c>
      <c r="E130" s="68">
        <f>D134</f>
        <v>2031.9009876724156</v>
      </c>
      <c r="F130" s="68">
        <f t="shared" ref="F130:M130" si="26">E134</f>
        <v>23665.040565643987</v>
      </c>
      <c r="G130" s="68">
        <f t="shared" si="26"/>
        <v>44680.090441387802</v>
      </c>
      <c r="H130" s="68">
        <f t="shared" si="26"/>
        <v>38694.743323510294</v>
      </c>
      <c r="I130" s="68">
        <f t="shared" si="26"/>
        <v>34309.426494951549</v>
      </c>
      <c r="J130" s="68">
        <f t="shared" si="26"/>
        <v>32380.656575059154</v>
      </c>
      <c r="K130" s="68">
        <f t="shared" si="26"/>
        <v>29787.511541306882</v>
      </c>
      <c r="L130" s="68">
        <f t="shared" si="26"/>
        <v>27952.693148192928</v>
      </c>
      <c r="M130" s="68">
        <f t="shared" si="26"/>
        <v>0</v>
      </c>
    </row>
    <row r="131" spans="1:13" s="65" customFormat="1" x14ac:dyDescent="0.3">
      <c r="A131" s="65" t="s">
        <v>70</v>
      </c>
      <c r="B131" s="65" t="s">
        <v>192</v>
      </c>
      <c r="C131" s="68">
        <f>SUM(D131:M131)</f>
        <v>89948.104418609233</v>
      </c>
      <c r="D131" s="68">
        <f>D128</f>
        <v>2019.9009876724156</v>
      </c>
      <c r="E131" s="68">
        <f t="shared" ref="E131:M131" si="27">E128</f>
        <v>21633.139577971571</v>
      </c>
      <c r="F131" s="68">
        <f t="shared" si="27"/>
        <v>21015.049875743811</v>
      </c>
      <c r="G131" s="68">
        <f t="shared" si="27"/>
        <v>6912.9006566259268</v>
      </c>
      <c r="H131" s="68">
        <f t="shared" si="27"/>
        <v>7051.1586697584453</v>
      </c>
      <c r="I131" s="68">
        <f t="shared" si="27"/>
        <v>8864.7822717939907</v>
      </c>
      <c r="J131" s="68">
        <f t="shared" si="27"/>
        <v>7336.0254800166867</v>
      </c>
      <c r="K131" s="68">
        <f t="shared" si="27"/>
        <v>7482.7459896170212</v>
      </c>
      <c r="L131" s="68">
        <f t="shared" si="27"/>
        <v>7632.4009094093608</v>
      </c>
      <c r="M131" s="68">
        <f t="shared" si="27"/>
        <v>0</v>
      </c>
    </row>
    <row r="132" spans="1:13" s="65" customFormat="1" x14ac:dyDescent="0.3">
      <c r="A132" s="65" t="s">
        <v>56</v>
      </c>
      <c r="B132" s="65" t="s">
        <v>192</v>
      </c>
      <c r="C132" s="68"/>
      <c r="D132" s="68">
        <f t="shared" ref="D132:M132" si="28">D130+D131</f>
        <v>2031.9009876724156</v>
      </c>
      <c r="E132" s="68">
        <f t="shared" si="28"/>
        <v>23665.040565643987</v>
      </c>
      <c r="F132" s="68">
        <f t="shared" si="28"/>
        <v>44680.090441387802</v>
      </c>
      <c r="G132" s="68">
        <f t="shared" si="28"/>
        <v>51592.991098013728</v>
      </c>
      <c r="H132" s="68">
        <f t="shared" si="28"/>
        <v>45745.901993268737</v>
      </c>
      <c r="I132" s="68">
        <f t="shared" si="28"/>
        <v>43174.208766745542</v>
      </c>
      <c r="J132" s="68">
        <f t="shared" si="28"/>
        <v>39716.682055075842</v>
      </c>
      <c r="K132" s="68">
        <f t="shared" si="28"/>
        <v>37270.257530923904</v>
      </c>
      <c r="L132" s="68">
        <f t="shared" si="28"/>
        <v>35585.094057602291</v>
      </c>
      <c r="M132" s="68">
        <f t="shared" si="28"/>
        <v>0</v>
      </c>
    </row>
    <row r="133" spans="1:13" s="72" customFormat="1" x14ac:dyDescent="0.3">
      <c r="A133" s="70" t="s">
        <v>209</v>
      </c>
      <c r="B133" s="65" t="s">
        <v>192</v>
      </c>
      <c r="C133" s="71">
        <f>SUM(D133:M133)</f>
        <v>89960.104418609233</v>
      </c>
      <c r="D133" s="71">
        <f t="shared" ref="D133:M133" si="29">IF(D81=0,0,IF(AND(D81&gt;0,E81=0),D132,D132*D122))</f>
        <v>0</v>
      </c>
      <c r="E133" s="71">
        <f t="shared" si="29"/>
        <v>0</v>
      </c>
      <c r="F133" s="71">
        <f t="shared" si="29"/>
        <v>0</v>
      </c>
      <c r="G133" s="71">
        <f t="shared" si="29"/>
        <v>12898.247774503432</v>
      </c>
      <c r="H133" s="71">
        <f t="shared" si="29"/>
        <v>11436.475498317184</v>
      </c>
      <c r="I133" s="71">
        <f t="shared" si="29"/>
        <v>10793.552191686385</v>
      </c>
      <c r="J133" s="71">
        <f t="shared" si="29"/>
        <v>9929.1705137689605</v>
      </c>
      <c r="K133" s="71">
        <f t="shared" si="29"/>
        <v>9317.5643827309759</v>
      </c>
      <c r="L133" s="71">
        <f t="shared" si="29"/>
        <v>35585.094057602291</v>
      </c>
      <c r="M133" s="71">
        <f t="shared" si="29"/>
        <v>0</v>
      </c>
    </row>
    <row r="134" spans="1:13" s="65" customFormat="1" x14ac:dyDescent="0.3">
      <c r="A134" s="65" t="s">
        <v>57</v>
      </c>
      <c r="B134" s="65" t="s">
        <v>192</v>
      </c>
      <c r="C134" s="68"/>
      <c r="D134" s="68">
        <f t="shared" ref="D134:M134" si="30">D132-D133</f>
        <v>2031.9009876724156</v>
      </c>
      <c r="E134" s="68">
        <f t="shared" si="30"/>
        <v>23665.040565643987</v>
      </c>
      <c r="F134" s="68">
        <f t="shared" si="30"/>
        <v>44680.090441387802</v>
      </c>
      <c r="G134" s="68">
        <f t="shared" si="30"/>
        <v>38694.743323510294</v>
      </c>
      <c r="H134" s="68">
        <f t="shared" si="30"/>
        <v>34309.426494951549</v>
      </c>
      <c r="I134" s="68">
        <f t="shared" si="30"/>
        <v>32380.656575059154</v>
      </c>
      <c r="J134" s="68">
        <f t="shared" si="30"/>
        <v>29787.511541306882</v>
      </c>
      <c r="K134" s="68">
        <f t="shared" si="30"/>
        <v>27952.693148192928</v>
      </c>
      <c r="L134" s="68">
        <f t="shared" si="30"/>
        <v>0</v>
      </c>
      <c r="M134" s="68">
        <f t="shared" si="30"/>
        <v>0</v>
      </c>
    </row>
    <row r="135" spans="1:13" x14ac:dyDescent="0.3">
      <c r="C135" s="17"/>
      <c r="D135" s="32"/>
      <c r="E135" s="32"/>
      <c r="F135" s="32"/>
      <c r="G135" s="32"/>
      <c r="H135" s="32"/>
      <c r="I135" s="32"/>
      <c r="J135" s="32"/>
      <c r="K135" s="32"/>
      <c r="L135" s="32"/>
      <c r="M135" s="32"/>
    </row>
    <row r="136" spans="1:13" ht="15.5" x14ac:dyDescent="0.35">
      <c r="A136" s="107" t="s">
        <v>210</v>
      </c>
      <c r="B136" s="17" t="s">
        <v>124</v>
      </c>
      <c r="C136" s="155">
        <f>SUM(D136:M136)</f>
        <v>79009.566015706499</v>
      </c>
      <c r="D136" s="108">
        <f>D133/D127</f>
        <v>0</v>
      </c>
      <c r="E136" s="108">
        <f t="shared" ref="E136:M136" si="31">E133/E127</f>
        <v>0</v>
      </c>
      <c r="F136" s="108">
        <f t="shared" si="31"/>
        <v>0</v>
      </c>
      <c r="G136" s="108">
        <f t="shared" si="31"/>
        <v>12034.557167519404</v>
      </c>
      <c r="H136" s="108">
        <f t="shared" si="31"/>
        <v>10461.439093764266</v>
      </c>
      <c r="I136" s="108">
        <f t="shared" si="31"/>
        <v>9679.7346277678425</v>
      </c>
      <c r="J136" s="108">
        <f t="shared" si="31"/>
        <v>8729.9519321822372</v>
      </c>
      <c r="K136" s="108">
        <f t="shared" si="31"/>
        <v>8031.5823030751744</v>
      </c>
      <c r="L136" s="108">
        <f t="shared" si="31"/>
        <v>30072.300891397575</v>
      </c>
      <c r="M136" s="108">
        <f t="shared" si="31"/>
        <v>0</v>
      </c>
    </row>
    <row r="137" spans="1:13" x14ac:dyDescent="0.3">
      <c r="A137" s="73" t="s">
        <v>121</v>
      </c>
      <c r="B137" s="17" t="s">
        <v>124</v>
      </c>
      <c r="C137" s="36">
        <f>C113+D130-C136</f>
        <v>4202.4339842935005</v>
      </c>
      <c r="D137" s="21"/>
      <c r="E137" s="21"/>
      <c r="F137" s="21"/>
      <c r="G137" s="21"/>
      <c r="H137" s="21"/>
      <c r="I137" s="21"/>
      <c r="J137" s="21"/>
      <c r="K137" s="21"/>
      <c r="L137" s="21"/>
      <c r="M137" s="21"/>
    </row>
    <row r="138" spans="1:13" ht="20" customHeight="1" x14ac:dyDescent="0.3">
      <c r="A138" s="73"/>
      <c r="C138" s="36"/>
      <c r="D138" s="21"/>
      <c r="E138" s="21"/>
      <c r="F138" s="21"/>
      <c r="G138" s="21"/>
      <c r="H138" s="21"/>
      <c r="I138" s="21"/>
      <c r="J138" s="21"/>
      <c r="K138" s="21"/>
      <c r="L138" s="21"/>
      <c r="M138" s="21"/>
    </row>
    <row r="139" spans="1:13" s="183" customFormat="1" ht="27.5" customHeight="1" x14ac:dyDescent="0.35">
      <c r="A139" s="180" t="str">
        <f>'Results &amp; Common Inputs'!A$28</f>
        <v>Life of Business</v>
      </c>
      <c r="B139" s="180" t="str">
        <f>'Results &amp; Common Inputs'!B$28</f>
        <v>units</v>
      </c>
      <c r="C139" s="181" t="str">
        <f>'Results &amp; Common Inputs'!C$28</f>
        <v>Total</v>
      </c>
      <c r="D139" s="182">
        <f>'Results &amp; Common Inputs'!D$28</f>
        <v>2026</v>
      </c>
      <c r="E139" s="182">
        <f>'Results &amp; Common Inputs'!E$28</f>
        <v>2027</v>
      </c>
      <c r="F139" s="182">
        <f>'Results &amp; Common Inputs'!F$28</f>
        <v>2028</v>
      </c>
      <c r="G139" s="182">
        <f>'Results &amp; Common Inputs'!G$28</f>
        <v>2029</v>
      </c>
      <c r="H139" s="182">
        <f>'Results &amp; Common Inputs'!H$28</f>
        <v>2030</v>
      </c>
      <c r="I139" s="182">
        <f>'Results &amp; Common Inputs'!I$28</f>
        <v>2031</v>
      </c>
      <c r="J139" s="182">
        <f>'Results &amp; Common Inputs'!J$28</f>
        <v>2032</v>
      </c>
      <c r="K139" s="182">
        <f>'Results &amp; Common Inputs'!K$28</f>
        <v>2033</v>
      </c>
      <c r="L139" s="182">
        <f>'Results &amp; Common Inputs'!L$28</f>
        <v>2034</v>
      </c>
      <c r="M139" s="182">
        <f>'Results &amp; Common Inputs'!M$28</f>
        <v>2035</v>
      </c>
    </row>
    <row r="140" spans="1:13" s="63" customFormat="1" ht="43.75" customHeight="1" x14ac:dyDescent="0.35">
      <c r="A140" s="98" t="s">
        <v>25</v>
      </c>
      <c r="C140" s="64"/>
      <c r="D140" s="64"/>
      <c r="E140" s="64"/>
      <c r="F140" s="64"/>
      <c r="G140" s="64"/>
      <c r="H140" s="64"/>
      <c r="I140" s="64"/>
      <c r="J140" s="64"/>
      <c r="K140" s="64"/>
      <c r="L140" s="64"/>
      <c r="M140" s="64"/>
    </row>
    <row r="141" spans="1:13" x14ac:dyDescent="0.3">
      <c r="A141" s="58" t="s">
        <v>216</v>
      </c>
      <c r="B141" s="18"/>
      <c r="D141" s="21"/>
      <c r="E141" s="21"/>
      <c r="F141" s="21"/>
      <c r="G141" s="21"/>
      <c r="H141" s="21"/>
      <c r="I141" s="21"/>
      <c r="J141" s="21"/>
      <c r="K141" s="21"/>
      <c r="L141" s="21"/>
      <c r="M141" s="21"/>
    </row>
    <row r="142" spans="1:13" x14ac:dyDescent="0.3">
      <c r="A142" s="58" t="s">
        <v>217</v>
      </c>
      <c r="B142" s="18"/>
      <c r="D142" s="21"/>
      <c r="E142" s="21"/>
      <c r="F142" s="21"/>
      <c r="G142" s="21"/>
      <c r="H142" s="21"/>
      <c r="I142" s="21"/>
      <c r="J142" s="21"/>
      <c r="K142" s="21"/>
      <c r="L142" s="21"/>
      <c r="M142" s="21"/>
    </row>
    <row r="143" spans="1:13" x14ac:dyDescent="0.3">
      <c r="A143" s="58" t="s">
        <v>218</v>
      </c>
      <c r="B143" s="18"/>
      <c r="D143" s="21"/>
      <c r="E143" s="21"/>
      <c r="F143" s="21"/>
      <c r="G143" s="21"/>
      <c r="H143" s="21"/>
      <c r="I143" s="21"/>
      <c r="J143" s="21"/>
      <c r="K143" s="21"/>
      <c r="L143" s="21"/>
      <c r="M143" s="21"/>
    </row>
    <row r="144" spans="1:13" x14ac:dyDescent="0.3">
      <c r="A144" s="58"/>
      <c r="B144" s="18"/>
      <c r="D144" s="21"/>
      <c r="E144" s="21"/>
      <c r="F144" s="21"/>
      <c r="G144" s="21"/>
      <c r="H144" s="21"/>
      <c r="I144" s="21"/>
      <c r="J144" s="21"/>
      <c r="K144" s="21"/>
      <c r="L144" s="21"/>
      <c r="M144" s="21"/>
    </row>
    <row r="145" spans="1:13" x14ac:dyDescent="0.3">
      <c r="A145" s="31" t="s">
        <v>65</v>
      </c>
      <c r="B145" s="18"/>
      <c r="D145" s="21"/>
      <c r="E145" s="21"/>
      <c r="F145" s="21"/>
      <c r="G145" s="21"/>
      <c r="H145" s="21"/>
      <c r="I145" s="21"/>
      <c r="J145" s="21"/>
      <c r="K145" s="21"/>
      <c r="L145" s="21"/>
      <c r="M145" s="21"/>
    </row>
    <row r="146" spans="1:13" x14ac:dyDescent="0.3">
      <c r="A146" s="92" t="s">
        <v>245</v>
      </c>
      <c r="B146" s="18"/>
      <c r="D146" s="21"/>
      <c r="E146" s="21"/>
      <c r="F146" s="21"/>
      <c r="G146" s="21"/>
      <c r="H146" s="21"/>
      <c r="I146" s="21"/>
      <c r="J146" s="21"/>
      <c r="K146" s="21"/>
      <c r="L146" s="21"/>
      <c r="M146" s="21"/>
    </row>
    <row r="147" spans="1:13" s="35" customFormat="1" x14ac:dyDescent="0.3">
      <c r="A147" s="35" t="str">
        <f>A67</f>
        <v>Waste removed</v>
      </c>
      <c r="B147" s="35" t="str">
        <f>B67</f>
        <v>000 dry tonnes</v>
      </c>
      <c r="C147" s="33">
        <f>SUM(D147:M147)</f>
        <v>3580</v>
      </c>
      <c r="D147" s="33">
        <f t="shared" ref="D147:M147" si="32">D67</f>
        <v>0</v>
      </c>
      <c r="E147" s="33">
        <f t="shared" si="32"/>
        <v>0</v>
      </c>
      <c r="F147" s="33">
        <f t="shared" si="32"/>
        <v>950</v>
      </c>
      <c r="G147" s="33">
        <f t="shared" si="32"/>
        <v>700</v>
      </c>
      <c r="H147" s="33">
        <f t="shared" si="32"/>
        <v>700</v>
      </c>
      <c r="I147" s="33">
        <f t="shared" si="32"/>
        <v>700</v>
      </c>
      <c r="J147" s="33">
        <f t="shared" si="32"/>
        <v>300</v>
      </c>
      <c r="K147" s="33">
        <f t="shared" si="32"/>
        <v>230</v>
      </c>
      <c r="L147" s="33">
        <f t="shared" si="32"/>
        <v>0</v>
      </c>
      <c r="M147" s="33">
        <f t="shared" si="32"/>
        <v>0</v>
      </c>
    </row>
    <row r="148" spans="1:13" s="124" customFormat="1" x14ac:dyDescent="0.3">
      <c r="A148" s="121" t="s">
        <v>61</v>
      </c>
      <c r="B148" s="121" t="s">
        <v>193</v>
      </c>
      <c r="C148" s="123"/>
      <c r="D148" s="123"/>
      <c r="E148" s="123"/>
      <c r="F148" s="125">
        <v>4</v>
      </c>
      <c r="G148" s="125">
        <f>F148</f>
        <v>4</v>
      </c>
      <c r="H148" s="125">
        <f t="shared" ref="H148:M148" si="33">G148</f>
        <v>4</v>
      </c>
      <c r="I148" s="125">
        <f t="shared" si="33"/>
        <v>4</v>
      </c>
      <c r="J148" s="125">
        <f t="shared" si="33"/>
        <v>4</v>
      </c>
      <c r="K148" s="125">
        <f t="shared" si="33"/>
        <v>4</v>
      </c>
      <c r="L148" s="125">
        <f t="shared" si="33"/>
        <v>4</v>
      </c>
      <c r="M148" s="125">
        <f t="shared" si="33"/>
        <v>4</v>
      </c>
    </row>
    <row r="149" spans="1:13" s="35" customFormat="1" x14ac:dyDescent="0.3">
      <c r="A149" s="35" t="s">
        <v>62</v>
      </c>
      <c r="B149" s="17" t="s">
        <v>124</v>
      </c>
      <c r="C149" s="33">
        <f>SUM(D149:M149)</f>
        <v>14320</v>
      </c>
      <c r="D149" s="33">
        <f>D147*D148</f>
        <v>0</v>
      </c>
      <c r="E149" s="33">
        <f t="shared" ref="E149:M149" si="34">E147*E148</f>
        <v>0</v>
      </c>
      <c r="F149" s="33">
        <f t="shared" si="34"/>
        <v>3800</v>
      </c>
      <c r="G149" s="33">
        <f t="shared" si="34"/>
        <v>2800</v>
      </c>
      <c r="H149" s="33">
        <f t="shared" si="34"/>
        <v>2800</v>
      </c>
      <c r="I149" s="33">
        <f t="shared" si="34"/>
        <v>2800</v>
      </c>
      <c r="J149" s="33">
        <f t="shared" si="34"/>
        <v>1200</v>
      </c>
      <c r="K149" s="33">
        <f t="shared" si="34"/>
        <v>920</v>
      </c>
      <c r="L149" s="33">
        <f t="shared" si="34"/>
        <v>0</v>
      </c>
      <c r="M149" s="33">
        <f t="shared" si="34"/>
        <v>0</v>
      </c>
    </row>
    <row r="150" spans="1:13" ht="9.65" customHeight="1" x14ac:dyDescent="0.3">
      <c r="A150" s="23"/>
      <c r="C150" s="11"/>
    </row>
    <row r="151" spans="1:13" s="35" customFormat="1" x14ac:dyDescent="0.3">
      <c r="A151" s="35" t="str">
        <f>A68</f>
        <v>Ore production</v>
      </c>
      <c r="B151" s="35" t="str">
        <f>B68</f>
        <v>000 dry tonnes</v>
      </c>
      <c r="C151" s="33">
        <f>SUM(D151:M151)</f>
        <v>3100</v>
      </c>
      <c r="D151" s="33">
        <f t="shared" ref="D151:M151" si="35">D68</f>
        <v>0</v>
      </c>
      <c r="E151" s="33">
        <f t="shared" si="35"/>
        <v>0</v>
      </c>
      <c r="F151" s="33">
        <f t="shared" si="35"/>
        <v>0</v>
      </c>
      <c r="G151" s="33">
        <f t="shared" si="35"/>
        <v>400</v>
      </c>
      <c r="H151" s="33">
        <f t="shared" si="35"/>
        <v>600</v>
      </c>
      <c r="I151" s="33">
        <f t="shared" si="35"/>
        <v>600</v>
      </c>
      <c r="J151" s="33">
        <f t="shared" si="35"/>
        <v>600</v>
      </c>
      <c r="K151" s="33">
        <f t="shared" si="35"/>
        <v>600</v>
      </c>
      <c r="L151" s="33">
        <f t="shared" si="35"/>
        <v>300</v>
      </c>
      <c r="M151" s="33">
        <f t="shared" si="35"/>
        <v>0</v>
      </c>
    </row>
    <row r="152" spans="1:13" s="124" customFormat="1" x14ac:dyDescent="0.3">
      <c r="A152" s="121" t="s">
        <v>26</v>
      </c>
      <c r="B152" s="121" t="s">
        <v>193</v>
      </c>
      <c r="C152" s="123"/>
      <c r="D152" s="123"/>
      <c r="E152" s="123"/>
      <c r="F152" s="125"/>
      <c r="G152" s="125">
        <v>5</v>
      </c>
      <c r="H152" s="125">
        <v>5.5</v>
      </c>
      <c r="I152" s="125">
        <v>6</v>
      </c>
      <c r="J152" s="125">
        <v>6.5</v>
      </c>
      <c r="K152" s="125">
        <v>7</v>
      </c>
      <c r="L152" s="125">
        <v>7.5</v>
      </c>
      <c r="M152" s="125"/>
    </row>
    <row r="153" spans="1:13" s="35" customFormat="1" x14ac:dyDescent="0.3">
      <c r="A153" s="35" t="s">
        <v>63</v>
      </c>
      <c r="B153" s="17" t="s">
        <v>124</v>
      </c>
      <c r="C153" s="33">
        <f>SUM(D153:M153)</f>
        <v>19250</v>
      </c>
      <c r="D153" s="33">
        <f>D151*D152</f>
        <v>0</v>
      </c>
      <c r="E153" s="33">
        <f t="shared" ref="E153:M153" si="36">E151*E152</f>
        <v>0</v>
      </c>
      <c r="F153" s="33">
        <f t="shared" si="36"/>
        <v>0</v>
      </c>
      <c r="G153" s="33">
        <f t="shared" si="36"/>
        <v>2000</v>
      </c>
      <c r="H153" s="33">
        <f t="shared" si="36"/>
        <v>3300</v>
      </c>
      <c r="I153" s="33">
        <f t="shared" si="36"/>
        <v>3600</v>
      </c>
      <c r="J153" s="33">
        <f t="shared" si="36"/>
        <v>3900</v>
      </c>
      <c r="K153" s="33">
        <f t="shared" si="36"/>
        <v>4200</v>
      </c>
      <c r="L153" s="33">
        <f t="shared" si="36"/>
        <v>2250</v>
      </c>
      <c r="M153" s="33">
        <f t="shared" si="36"/>
        <v>0</v>
      </c>
    </row>
    <row r="154" spans="1:13" ht="9.65" customHeight="1" x14ac:dyDescent="0.3">
      <c r="A154" s="23"/>
      <c r="C154" s="11"/>
    </row>
    <row r="155" spans="1:13" s="124" customFormat="1" x14ac:dyDescent="0.3">
      <c r="A155" s="121" t="s">
        <v>80</v>
      </c>
      <c r="B155" s="121" t="s">
        <v>194</v>
      </c>
      <c r="C155" s="123"/>
      <c r="D155" s="123">
        <v>4500</v>
      </c>
      <c r="E155" s="123">
        <f>D155</f>
        <v>4500</v>
      </c>
      <c r="F155" s="123">
        <f t="shared" ref="F155:M155" si="37">E155</f>
        <v>4500</v>
      </c>
      <c r="G155" s="123">
        <f t="shared" si="37"/>
        <v>4500</v>
      </c>
      <c r="H155" s="123">
        <f t="shared" si="37"/>
        <v>4500</v>
      </c>
      <c r="I155" s="123">
        <f t="shared" si="37"/>
        <v>4500</v>
      </c>
      <c r="J155" s="123">
        <f t="shared" si="37"/>
        <v>4500</v>
      </c>
      <c r="K155" s="123">
        <f t="shared" si="37"/>
        <v>4500</v>
      </c>
      <c r="L155" s="123">
        <f t="shared" si="37"/>
        <v>4500</v>
      </c>
      <c r="M155" s="123">
        <f t="shared" si="37"/>
        <v>4500</v>
      </c>
    </row>
    <row r="156" spans="1:13" s="35" customFormat="1" x14ac:dyDescent="0.3">
      <c r="A156" s="35" t="s">
        <v>81</v>
      </c>
      <c r="B156" s="17" t="s">
        <v>124</v>
      </c>
      <c r="C156" s="33">
        <f>SUM(D156:M156)</f>
        <v>27000</v>
      </c>
      <c r="D156" s="33">
        <f t="shared" ref="D156:M156" si="38">IF(D68=0,0,D155)</f>
        <v>0</v>
      </c>
      <c r="E156" s="33">
        <f t="shared" si="38"/>
        <v>0</v>
      </c>
      <c r="F156" s="33">
        <f t="shared" si="38"/>
        <v>0</v>
      </c>
      <c r="G156" s="33">
        <f t="shared" si="38"/>
        <v>4500</v>
      </c>
      <c r="H156" s="33">
        <f t="shared" si="38"/>
        <v>4500</v>
      </c>
      <c r="I156" s="33">
        <f t="shared" si="38"/>
        <v>4500</v>
      </c>
      <c r="J156" s="33">
        <f t="shared" si="38"/>
        <v>4500</v>
      </c>
      <c r="K156" s="33">
        <f t="shared" si="38"/>
        <v>4500</v>
      </c>
      <c r="L156" s="33">
        <f t="shared" si="38"/>
        <v>4500</v>
      </c>
      <c r="M156" s="33">
        <f t="shared" si="38"/>
        <v>0</v>
      </c>
    </row>
    <row r="157" spans="1:13" s="35" customFormat="1" ht="6" customHeight="1" x14ac:dyDescent="0.3">
      <c r="C157" s="33"/>
      <c r="D157" s="33"/>
      <c r="E157" s="33"/>
      <c r="F157" s="33"/>
      <c r="G157" s="33"/>
      <c r="H157" s="33"/>
      <c r="I157" s="33"/>
      <c r="J157" s="33"/>
      <c r="K157" s="33"/>
      <c r="L157" s="33"/>
      <c r="M157" s="33"/>
    </row>
    <row r="158" spans="1:13" s="34" customFormat="1" x14ac:dyDescent="0.3">
      <c r="A158" s="34" t="s">
        <v>64</v>
      </c>
      <c r="B158" s="17" t="s">
        <v>124</v>
      </c>
      <c r="C158" s="32">
        <f>SUM(D158:M158)</f>
        <v>60570</v>
      </c>
      <c r="D158" s="79">
        <f t="shared" ref="D158:M158" si="39">D149+D153+D156</f>
        <v>0</v>
      </c>
      <c r="E158" s="79">
        <f t="shared" si="39"/>
        <v>0</v>
      </c>
      <c r="F158" s="79">
        <f t="shared" si="39"/>
        <v>3800</v>
      </c>
      <c r="G158" s="79">
        <f t="shared" si="39"/>
        <v>9300</v>
      </c>
      <c r="H158" s="79">
        <f t="shared" si="39"/>
        <v>10600</v>
      </c>
      <c r="I158" s="79">
        <f t="shared" si="39"/>
        <v>10900</v>
      </c>
      <c r="J158" s="79">
        <f t="shared" si="39"/>
        <v>9600</v>
      </c>
      <c r="K158" s="79">
        <f t="shared" si="39"/>
        <v>9620</v>
      </c>
      <c r="L158" s="79">
        <f t="shared" si="39"/>
        <v>6750</v>
      </c>
      <c r="M158" s="79">
        <f t="shared" si="39"/>
        <v>0</v>
      </c>
    </row>
    <row r="159" spans="1:13" s="35" customFormat="1" x14ac:dyDescent="0.3">
      <c r="A159" s="34"/>
      <c r="B159" s="34"/>
      <c r="C159" s="32"/>
      <c r="D159" s="32"/>
      <c r="E159" s="32"/>
      <c r="F159" s="32"/>
      <c r="G159" s="32"/>
      <c r="H159" s="32"/>
      <c r="I159" s="32"/>
      <c r="J159" s="32"/>
      <c r="K159" s="32"/>
      <c r="L159" s="32"/>
      <c r="M159" s="32"/>
    </row>
    <row r="160" spans="1:13" x14ac:dyDescent="0.3">
      <c r="A160" s="31" t="s">
        <v>66</v>
      </c>
      <c r="B160" s="18"/>
      <c r="D160" s="21"/>
      <c r="E160" s="21"/>
      <c r="F160" s="21"/>
      <c r="G160" s="21"/>
      <c r="H160" s="21"/>
      <c r="I160" s="21"/>
      <c r="J160" s="21"/>
      <c r="K160" s="21"/>
      <c r="L160" s="21"/>
      <c r="M160" s="21"/>
    </row>
    <row r="161" spans="1:13" x14ac:dyDescent="0.3">
      <c r="A161" s="92" t="s">
        <v>246</v>
      </c>
      <c r="C161" s="11"/>
    </row>
    <row r="162" spans="1:13" s="35" customFormat="1" x14ac:dyDescent="0.3">
      <c r="A162" s="35" t="str">
        <f>A68</f>
        <v>Ore production</v>
      </c>
      <c r="B162" s="35" t="str">
        <f>B68</f>
        <v>000 dry tonnes</v>
      </c>
      <c r="C162" s="33">
        <f>SUM(D162:M162)</f>
        <v>3100</v>
      </c>
      <c r="D162" s="33">
        <f t="shared" ref="D162:M162" si="40">D68</f>
        <v>0</v>
      </c>
      <c r="E162" s="33">
        <f t="shared" si="40"/>
        <v>0</v>
      </c>
      <c r="F162" s="33">
        <f t="shared" si="40"/>
        <v>0</v>
      </c>
      <c r="G162" s="33">
        <f t="shared" si="40"/>
        <v>400</v>
      </c>
      <c r="H162" s="33">
        <f t="shared" si="40"/>
        <v>600</v>
      </c>
      <c r="I162" s="33">
        <f t="shared" si="40"/>
        <v>600</v>
      </c>
      <c r="J162" s="33">
        <f t="shared" si="40"/>
        <v>600</v>
      </c>
      <c r="K162" s="33">
        <f t="shared" si="40"/>
        <v>600</v>
      </c>
      <c r="L162" s="33">
        <f t="shared" si="40"/>
        <v>300</v>
      </c>
      <c r="M162" s="33">
        <f t="shared" si="40"/>
        <v>0</v>
      </c>
    </row>
    <row r="163" spans="1:13" x14ac:dyDescent="0.3">
      <c r="A163" s="121" t="s">
        <v>92</v>
      </c>
      <c r="B163" s="121" t="s">
        <v>193</v>
      </c>
      <c r="C163" s="33"/>
      <c r="D163" s="123">
        <v>40</v>
      </c>
      <c r="E163" s="123">
        <f t="shared" ref="E163:M163" si="41">D163</f>
        <v>40</v>
      </c>
      <c r="F163" s="123">
        <f t="shared" si="41"/>
        <v>40</v>
      </c>
      <c r="G163" s="123">
        <f t="shared" si="41"/>
        <v>40</v>
      </c>
      <c r="H163" s="123">
        <f t="shared" si="41"/>
        <v>40</v>
      </c>
      <c r="I163" s="123">
        <f t="shared" si="41"/>
        <v>40</v>
      </c>
      <c r="J163" s="123">
        <f t="shared" si="41"/>
        <v>40</v>
      </c>
      <c r="K163" s="123">
        <f t="shared" si="41"/>
        <v>40</v>
      </c>
      <c r="L163" s="123">
        <f t="shared" si="41"/>
        <v>40</v>
      </c>
      <c r="M163" s="123">
        <f t="shared" si="41"/>
        <v>40</v>
      </c>
    </row>
    <row r="164" spans="1:13" s="35" customFormat="1" x14ac:dyDescent="0.3">
      <c r="A164" s="35" t="s">
        <v>91</v>
      </c>
      <c r="B164" s="17" t="s">
        <v>124</v>
      </c>
      <c r="C164" s="33">
        <f>SUM(D164:M164)</f>
        <v>124000</v>
      </c>
      <c r="D164" s="33">
        <f>D162*D163</f>
        <v>0</v>
      </c>
      <c r="E164" s="33">
        <f t="shared" ref="E164:M164" si="42">E162*E163</f>
        <v>0</v>
      </c>
      <c r="F164" s="33">
        <f t="shared" si="42"/>
        <v>0</v>
      </c>
      <c r="G164" s="33">
        <f t="shared" si="42"/>
        <v>16000</v>
      </c>
      <c r="H164" s="33">
        <f t="shared" si="42"/>
        <v>24000</v>
      </c>
      <c r="I164" s="33">
        <f t="shared" si="42"/>
        <v>24000</v>
      </c>
      <c r="J164" s="33">
        <f t="shared" si="42"/>
        <v>24000</v>
      </c>
      <c r="K164" s="33">
        <f t="shared" si="42"/>
        <v>24000</v>
      </c>
      <c r="L164" s="33">
        <f t="shared" si="42"/>
        <v>12000</v>
      </c>
      <c r="M164" s="33">
        <f t="shared" si="42"/>
        <v>0</v>
      </c>
    </row>
    <row r="165" spans="1:13" ht="9.65" customHeight="1" x14ac:dyDescent="0.3">
      <c r="A165" s="23"/>
      <c r="C165" s="11"/>
    </row>
    <row r="166" spans="1:13" s="35" customFormat="1" x14ac:dyDescent="0.3">
      <c r="A166" s="35" t="str">
        <f>A72</f>
        <v>Gold produced</v>
      </c>
      <c r="B166" s="35" t="str">
        <f>B72</f>
        <v>000 ounces</v>
      </c>
      <c r="C166" s="33">
        <f>SUM(D166:M166)</f>
        <v>237.7234726688103</v>
      </c>
      <c r="D166" s="33">
        <f t="shared" ref="D166:M166" si="43">D72</f>
        <v>0</v>
      </c>
      <c r="E166" s="33">
        <f t="shared" si="43"/>
        <v>0</v>
      </c>
      <c r="F166" s="33">
        <f t="shared" si="43"/>
        <v>0</v>
      </c>
      <c r="G166" s="33">
        <f t="shared" si="43"/>
        <v>25.620578778135044</v>
      </c>
      <c r="H166" s="33">
        <f t="shared" si="43"/>
        <v>49.69774919614148</v>
      </c>
      <c r="I166" s="33">
        <f t="shared" si="43"/>
        <v>51.472668810289392</v>
      </c>
      <c r="J166" s="33">
        <f t="shared" si="43"/>
        <v>46.147909967845656</v>
      </c>
      <c r="K166" s="33">
        <f t="shared" si="43"/>
        <v>46.147909967845656</v>
      </c>
      <c r="L166" s="33">
        <f t="shared" si="43"/>
        <v>18.636655948553056</v>
      </c>
      <c r="M166" s="33">
        <f t="shared" si="43"/>
        <v>0</v>
      </c>
    </row>
    <row r="167" spans="1:13" x14ac:dyDescent="0.3">
      <c r="A167" s="121" t="s">
        <v>122</v>
      </c>
      <c r="B167" s="121" t="s">
        <v>195</v>
      </c>
      <c r="C167" s="33"/>
      <c r="D167" s="123">
        <v>80</v>
      </c>
      <c r="E167" s="123">
        <f>D167</f>
        <v>80</v>
      </c>
      <c r="F167" s="123">
        <f t="shared" ref="F167:M167" si="44">E167</f>
        <v>80</v>
      </c>
      <c r="G167" s="123">
        <f t="shared" si="44"/>
        <v>80</v>
      </c>
      <c r="H167" s="123">
        <f t="shared" si="44"/>
        <v>80</v>
      </c>
      <c r="I167" s="123">
        <f t="shared" si="44"/>
        <v>80</v>
      </c>
      <c r="J167" s="123">
        <f t="shared" si="44"/>
        <v>80</v>
      </c>
      <c r="K167" s="123">
        <f t="shared" si="44"/>
        <v>80</v>
      </c>
      <c r="L167" s="123">
        <f t="shared" si="44"/>
        <v>80</v>
      </c>
      <c r="M167" s="123">
        <f t="shared" si="44"/>
        <v>80</v>
      </c>
    </row>
    <row r="168" spans="1:13" s="35" customFormat="1" x14ac:dyDescent="0.3">
      <c r="A168" s="35" t="s">
        <v>90</v>
      </c>
      <c r="B168" s="17" t="s">
        <v>124</v>
      </c>
      <c r="C168" s="33">
        <f>SUM(D168:M168)</f>
        <v>19017.877813504823</v>
      </c>
      <c r="D168" s="33">
        <f>D166*D167</f>
        <v>0</v>
      </c>
      <c r="E168" s="33">
        <f t="shared" ref="E168:M168" si="45">E166*E167</f>
        <v>0</v>
      </c>
      <c r="F168" s="33">
        <f t="shared" si="45"/>
        <v>0</v>
      </c>
      <c r="G168" s="33">
        <f t="shared" si="45"/>
        <v>2049.6463022508037</v>
      </c>
      <c r="H168" s="33">
        <f t="shared" si="45"/>
        <v>3975.8199356913183</v>
      </c>
      <c r="I168" s="33">
        <f t="shared" si="45"/>
        <v>4117.8135048231516</v>
      </c>
      <c r="J168" s="33">
        <f t="shared" si="45"/>
        <v>3691.8327974276526</v>
      </c>
      <c r="K168" s="33">
        <f t="shared" si="45"/>
        <v>3691.8327974276526</v>
      </c>
      <c r="L168" s="33">
        <f t="shared" si="45"/>
        <v>1490.9324758842445</v>
      </c>
      <c r="M168" s="33">
        <f t="shared" si="45"/>
        <v>0</v>
      </c>
    </row>
    <row r="169" spans="1:13" ht="9.65" customHeight="1" x14ac:dyDescent="0.3">
      <c r="A169" s="23"/>
      <c r="C169" s="11"/>
    </row>
    <row r="170" spans="1:13" s="35" customFormat="1" x14ac:dyDescent="0.3">
      <c r="A170" s="35" t="s">
        <v>213</v>
      </c>
      <c r="C170" s="33"/>
      <c r="D170" s="33"/>
      <c r="E170" s="33"/>
      <c r="F170" s="33"/>
      <c r="G170" s="33"/>
      <c r="H170" s="33"/>
      <c r="I170" s="33"/>
      <c r="J170" s="33"/>
      <c r="K170" s="33"/>
      <c r="L170" s="33"/>
      <c r="M170" s="33"/>
    </row>
    <row r="171" spans="1:13" x14ac:dyDescent="0.3">
      <c r="A171" s="121" t="s">
        <v>93</v>
      </c>
      <c r="B171" s="121" t="s">
        <v>194</v>
      </c>
      <c r="C171" s="33"/>
      <c r="D171" s="123">
        <v>3000</v>
      </c>
      <c r="E171" s="123">
        <f>D171</f>
        <v>3000</v>
      </c>
      <c r="F171" s="123">
        <f t="shared" ref="F171:M171" si="46">E171</f>
        <v>3000</v>
      </c>
      <c r="G171" s="123">
        <f t="shared" si="46"/>
        <v>3000</v>
      </c>
      <c r="H171" s="123">
        <f t="shared" si="46"/>
        <v>3000</v>
      </c>
      <c r="I171" s="123">
        <f t="shared" si="46"/>
        <v>3000</v>
      </c>
      <c r="J171" s="123">
        <f t="shared" si="46"/>
        <v>3000</v>
      </c>
      <c r="K171" s="123">
        <f t="shared" si="46"/>
        <v>3000</v>
      </c>
      <c r="L171" s="123">
        <f t="shared" si="46"/>
        <v>3000</v>
      </c>
      <c r="M171" s="123">
        <f t="shared" si="46"/>
        <v>3000</v>
      </c>
    </row>
    <row r="172" spans="1:13" s="35" customFormat="1" x14ac:dyDescent="0.3">
      <c r="A172" s="35" t="s">
        <v>94</v>
      </c>
      <c r="B172" s="17" t="s">
        <v>124</v>
      </c>
      <c r="C172" s="33">
        <f>SUM(D172:M172)</f>
        <v>18000</v>
      </c>
      <c r="D172" s="33">
        <f>IF(D72=0,0,D171)</f>
        <v>0</v>
      </c>
      <c r="E172" s="33">
        <f t="shared" ref="E172:M172" si="47">IF(E72=0,0,E171)</f>
        <v>0</v>
      </c>
      <c r="F172" s="33">
        <f t="shared" si="47"/>
        <v>0</v>
      </c>
      <c r="G172" s="33">
        <f t="shared" si="47"/>
        <v>3000</v>
      </c>
      <c r="H172" s="33">
        <f t="shared" si="47"/>
        <v>3000</v>
      </c>
      <c r="I172" s="33">
        <f t="shared" si="47"/>
        <v>3000</v>
      </c>
      <c r="J172" s="33">
        <f t="shared" si="47"/>
        <v>3000</v>
      </c>
      <c r="K172" s="33">
        <f t="shared" si="47"/>
        <v>3000</v>
      </c>
      <c r="L172" s="33">
        <f t="shared" si="47"/>
        <v>3000</v>
      </c>
      <c r="M172" s="33">
        <f t="shared" si="47"/>
        <v>0</v>
      </c>
    </row>
    <row r="173" spans="1:13" s="35" customFormat="1" ht="6" customHeight="1" x14ac:dyDescent="0.3">
      <c r="C173" s="33"/>
      <c r="D173" s="33"/>
      <c r="E173" s="33"/>
      <c r="F173" s="33"/>
      <c r="G173" s="33"/>
      <c r="H173" s="33"/>
      <c r="I173" s="33"/>
      <c r="J173" s="33"/>
      <c r="K173" s="33"/>
      <c r="L173" s="33"/>
      <c r="M173" s="33"/>
    </row>
    <row r="174" spans="1:13" s="35" customFormat="1" x14ac:dyDescent="0.3">
      <c r="A174" s="34" t="s">
        <v>89</v>
      </c>
      <c r="B174" s="17" t="s">
        <v>124</v>
      </c>
      <c r="C174" s="32">
        <f>SUM(D174:M174)</f>
        <v>161017.87781350483</v>
      </c>
      <c r="D174" s="79">
        <f>D164+D168+D172</f>
        <v>0</v>
      </c>
      <c r="E174" s="79">
        <f t="shared" ref="E174:M174" si="48">E164+E168+E172</f>
        <v>0</v>
      </c>
      <c r="F174" s="79">
        <f t="shared" si="48"/>
        <v>0</v>
      </c>
      <c r="G174" s="79">
        <f t="shared" si="48"/>
        <v>21049.646302250803</v>
      </c>
      <c r="H174" s="79">
        <f t="shared" si="48"/>
        <v>30975.819935691317</v>
      </c>
      <c r="I174" s="79">
        <f t="shared" si="48"/>
        <v>31117.813504823152</v>
      </c>
      <c r="J174" s="79">
        <f t="shared" si="48"/>
        <v>30691.832797427654</v>
      </c>
      <c r="K174" s="79">
        <f t="shared" si="48"/>
        <v>30691.832797427654</v>
      </c>
      <c r="L174" s="79">
        <f t="shared" si="48"/>
        <v>16490.932475884245</v>
      </c>
      <c r="M174" s="79">
        <f t="shared" si="48"/>
        <v>0</v>
      </c>
    </row>
    <row r="175" spans="1:13" s="35" customFormat="1" x14ac:dyDescent="0.3">
      <c r="A175" s="34"/>
      <c r="B175" s="34"/>
      <c r="C175" s="32"/>
      <c r="D175" s="32"/>
      <c r="E175" s="32"/>
      <c r="F175" s="32"/>
      <c r="G175" s="32"/>
      <c r="H175" s="32"/>
      <c r="I175" s="32"/>
      <c r="J175" s="32"/>
      <c r="K175" s="32"/>
      <c r="L175" s="32"/>
      <c r="M175" s="32"/>
    </row>
    <row r="176" spans="1:13" x14ac:dyDescent="0.3">
      <c r="A176" s="31" t="s">
        <v>67</v>
      </c>
      <c r="B176" s="18"/>
      <c r="D176" s="129"/>
      <c r="E176" s="17"/>
      <c r="F176" s="21"/>
      <c r="G176" s="21"/>
      <c r="H176" s="21"/>
      <c r="I176" s="21"/>
      <c r="J176" s="21"/>
      <c r="K176" s="21"/>
      <c r="L176" s="21"/>
      <c r="M176" s="21"/>
    </row>
    <row r="177" spans="1:13" s="35" customFormat="1" x14ac:dyDescent="0.3">
      <c r="A177" s="35" t="str">
        <f>A68</f>
        <v>Ore production</v>
      </c>
      <c r="B177" s="35" t="str">
        <f>B68</f>
        <v>000 dry tonnes</v>
      </c>
      <c r="C177" s="33">
        <f>SUM(D177:M177)</f>
        <v>3100</v>
      </c>
      <c r="D177" s="33">
        <f t="shared" ref="D177:M177" si="49">D68</f>
        <v>0</v>
      </c>
      <c r="E177" s="33">
        <f t="shared" si="49"/>
        <v>0</v>
      </c>
      <c r="F177" s="33">
        <f t="shared" si="49"/>
        <v>0</v>
      </c>
      <c r="G177" s="33">
        <f t="shared" si="49"/>
        <v>400</v>
      </c>
      <c r="H177" s="33">
        <f t="shared" si="49"/>
        <v>600</v>
      </c>
      <c r="I177" s="33">
        <f t="shared" si="49"/>
        <v>600</v>
      </c>
      <c r="J177" s="33">
        <f t="shared" si="49"/>
        <v>600</v>
      </c>
      <c r="K177" s="33">
        <f t="shared" si="49"/>
        <v>600</v>
      </c>
      <c r="L177" s="33">
        <f t="shared" si="49"/>
        <v>300</v>
      </c>
      <c r="M177" s="33">
        <f t="shared" si="49"/>
        <v>0</v>
      </c>
    </row>
    <row r="178" spans="1:13" x14ac:dyDescent="0.3">
      <c r="A178" s="92" t="s">
        <v>214</v>
      </c>
      <c r="B178" s="18"/>
      <c r="D178" s="17"/>
      <c r="E178" s="21"/>
      <c r="F178" s="21"/>
      <c r="G178" s="21"/>
      <c r="H178" s="21"/>
      <c r="I178" s="21"/>
      <c r="J178" s="21"/>
      <c r="K178" s="21"/>
      <c r="L178" s="21"/>
      <c r="M178" s="21"/>
    </row>
    <row r="179" spans="1:13" x14ac:dyDescent="0.3">
      <c r="A179" s="121" t="s">
        <v>95</v>
      </c>
      <c r="B179" s="121" t="s">
        <v>193</v>
      </c>
      <c r="C179" s="33"/>
      <c r="D179" s="163">
        <v>2</v>
      </c>
      <c r="E179" s="125">
        <f t="shared" ref="E179:M179" si="50">D179</f>
        <v>2</v>
      </c>
      <c r="F179" s="125">
        <f t="shared" si="50"/>
        <v>2</v>
      </c>
      <c r="G179" s="125">
        <f t="shared" si="50"/>
        <v>2</v>
      </c>
      <c r="H179" s="125">
        <f t="shared" si="50"/>
        <v>2</v>
      </c>
      <c r="I179" s="125">
        <f t="shared" si="50"/>
        <v>2</v>
      </c>
      <c r="J179" s="125">
        <f t="shared" si="50"/>
        <v>2</v>
      </c>
      <c r="K179" s="125">
        <f t="shared" si="50"/>
        <v>2</v>
      </c>
      <c r="L179" s="125">
        <f t="shared" si="50"/>
        <v>2</v>
      </c>
      <c r="M179" s="125">
        <f t="shared" si="50"/>
        <v>2</v>
      </c>
    </row>
    <row r="180" spans="1:13" s="35" customFormat="1" x14ac:dyDescent="0.3">
      <c r="A180" s="35" t="s">
        <v>96</v>
      </c>
      <c r="B180" s="17" t="s">
        <v>124</v>
      </c>
      <c r="C180" s="33">
        <f>SUM(D180:M180)</f>
        <v>6200</v>
      </c>
      <c r="D180" s="33">
        <f>D177*D179</f>
        <v>0</v>
      </c>
      <c r="E180" s="33">
        <f t="shared" ref="E180:M180" si="51">E177*E179</f>
        <v>0</v>
      </c>
      <c r="F180" s="33">
        <f t="shared" si="51"/>
        <v>0</v>
      </c>
      <c r="G180" s="33">
        <f t="shared" si="51"/>
        <v>800</v>
      </c>
      <c r="H180" s="33">
        <f t="shared" si="51"/>
        <v>1200</v>
      </c>
      <c r="I180" s="33">
        <f t="shared" si="51"/>
        <v>1200</v>
      </c>
      <c r="J180" s="33">
        <f t="shared" si="51"/>
        <v>1200</v>
      </c>
      <c r="K180" s="33">
        <f t="shared" si="51"/>
        <v>1200</v>
      </c>
      <c r="L180" s="33">
        <f t="shared" si="51"/>
        <v>600</v>
      </c>
      <c r="M180" s="33">
        <f t="shared" si="51"/>
        <v>0</v>
      </c>
    </row>
    <row r="181" spans="1:13" ht="9.65" customHeight="1" x14ac:dyDescent="0.3">
      <c r="A181" s="23"/>
      <c r="C181" s="11"/>
    </row>
    <row r="182" spans="1:13" x14ac:dyDescent="0.3">
      <c r="A182" s="121" t="s">
        <v>97</v>
      </c>
      <c r="B182" s="121" t="s">
        <v>194</v>
      </c>
      <c r="C182" s="33"/>
      <c r="D182" s="123">
        <v>9000</v>
      </c>
      <c r="E182" s="123">
        <f>D182</f>
        <v>9000</v>
      </c>
      <c r="F182" s="123">
        <f t="shared" ref="F182:M182" si="52">E182</f>
        <v>9000</v>
      </c>
      <c r="G182" s="123">
        <f t="shared" si="52"/>
        <v>9000</v>
      </c>
      <c r="H182" s="123">
        <f t="shared" si="52"/>
        <v>9000</v>
      </c>
      <c r="I182" s="123">
        <f t="shared" si="52"/>
        <v>9000</v>
      </c>
      <c r="J182" s="123">
        <f t="shared" si="52"/>
        <v>9000</v>
      </c>
      <c r="K182" s="123">
        <f t="shared" si="52"/>
        <v>9000</v>
      </c>
      <c r="L182" s="123">
        <f t="shared" si="52"/>
        <v>9000</v>
      </c>
      <c r="M182" s="123">
        <f t="shared" si="52"/>
        <v>9000</v>
      </c>
    </row>
    <row r="183" spans="1:13" s="35" customFormat="1" x14ac:dyDescent="0.3">
      <c r="A183" s="35" t="s">
        <v>98</v>
      </c>
      <c r="B183" s="17" t="s">
        <v>124</v>
      </c>
      <c r="C183" s="33">
        <f>SUM(D183:M183)</f>
        <v>54000</v>
      </c>
      <c r="D183" s="33">
        <f>IF(D177=0,0,D182)</f>
        <v>0</v>
      </c>
      <c r="E183" s="33">
        <f t="shared" ref="E183:M183" si="53">IF(E177=0,0,E182)</f>
        <v>0</v>
      </c>
      <c r="F183" s="33">
        <f t="shared" si="53"/>
        <v>0</v>
      </c>
      <c r="G183" s="33">
        <f>IF(G177=0,0,G182)</f>
        <v>9000</v>
      </c>
      <c r="H183" s="33">
        <f t="shared" si="53"/>
        <v>9000</v>
      </c>
      <c r="I183" s="33">
        <f t="shared" si="53"/>
        <v>9000</v>
      </c>
      <c r="J183" s="33">
        <f t="shared" si="53"/>
        <v>9000</v>
      </c>
      <c r="K183" s="33">
        <f t="shared" si="53"/>
        <v>9000</v>
      </c>
      <c r="L183" s="33">
        <f t="shared" si="53"/>
        <v>9000</v>
      </c>
      <c r="M183" s="33">
        <f t="shared" si="53"/>
        <v>0</v>
      </c>
    </row>
    <row r="184" spans="1:13" s="35" customFormat="1" ht="7.25" customHeight="1" x14ac:dyDescent="0.3">
      <c r="A184" s="34"/>
      <c r="B184" s="34"/>
      <c r="C184" s="32"/>
      <c r="D184" s="32"/>
      <c r="E184" s="32"/>
      <c r="F184" s="32"/>
      <c r="G184" s="32"/>
      <c r="H184" s="32"/>
      <c r="I184" s="32"/>
      <c r="J184" s="32"/>
      <c r="K184" s="32"/>
      <c r="L184" s="32"/>
      <c r="M184" s="32"/>
    </row>
    <row r="185" spans="1:13" s="35" customFormat="1" x14ac:dyDescent="0.3">
      <c r="A185" s="34" t="s">
        <v>67</v>
      </c>
      <c r="B185" s="17" t="s">
        <v>124</v>
      </c>
      <c r="C185" s="32">
        <f>SUM(D185:M185)</f>
        <v>60200</v>
      </c>
      <c r="D185" s="79">
        <f>D180+D183</f>
        <v>0</v>
      </c>
      <c r="E185" s="79">
        <f t="shared" ref="E185:M185" si="54">E180+E183</f>
        <v>0</v>
      </c>
      <c r="F185" s="79">
        <f t="shared" si="54"/>
        <v>0</v>
      </c>
      <c r="G185" s="79">
        <f t="shared" si="54"/>
        <v>9800</v>
      </c>
      <c r="H185" s="79">
        <f t="shared" si="54"/>
        <v>10200</v>
      </c>
      <c r="I185" s="79">
        <f t="shared" si="54"/>
        <v>10200</v>
      </c>
      <c r="J185" s="79">
        <f t="shared" si="54"/>
        <v>10200</v>
      </c>
      <c r="K185" s="79">
        <f t="shared" si="54"/>
        <v>10200</v>
      </c>
      <c r="L185" s="79">
        <f t="shared" si="54"/>
        <v>9600</v>
      </c>
      <c r="M185" s="79">
        <f t="shared" si="54"/>
        <v>0</v>
      </c>
    </row>
    <row r="186" spans="1:13" s="35" customFormat="1" x14ac:dyDescent="0.3">
      <c r="A186" s="34"/>
      <c r="B186" s="34"/>
      <c r="C186" s="32"/>
      <c r="D186" s="32"/>
      <c r="E186" s="32"/>
      <c r="F186" s="32"/>
      <c r="G186" s="32"/>
      <c r="H186" s="32"/>
      <c r="I186" s="32"/>
      <c r="J186" s="32"/>
      <c r="K186" s="32"/>
      <c r="L186" s="32"/>
      <c r="M186" s="32"/>
    </row>
    <row r="187" spans="1:13" x14ac:dyDescent="0.3">
      <c r="A187" s="31" t="s">
        <v>99</v>
      </c>
      <c r="B187" s="18"/>
      <c r="D187" s="21"/>
      <c r="E187" s="21"/>
      <c r="F187" s="21"/>
      <c r="G187" s="21"/>
      <c r="H187" s="21"/>
      <c r="I187" s="21"/>
      <c r="J187" s="21"/>
      <c r="K187" s="21"/>
      <c r="L187" s="21"/>
      <c r="M187" s="21"/>
    </row>
    <row r="188" spans="1:13" x14ac:dyDescent="0.3">
      <c r="A188" s="58" t="s">
        <v>215</v>
      </c>
      <c r="C188" s="11"/>
    </row>
    <row r="189" spans="1:13" x14ac:dyDescent="0.3">
      <c r="A189" s="92" t="s">
        <v>221</v>
      </c>
      <c r="C189" s="11"/>
    </row>
    <row r="190" spans="1:13" s="35" customFormat="1" x14ac:dyDescent="0.3">
      <c r="A190" s="35" t="str">
        <f>A88</f>
        <v>Cashstream 1: Revenue - Low Capex Case</v>
      </c>
      <c r="B190" s="35" t="str">
        <f>B88</f>
        <v>US$ 000 Real</v>
      </c>
      <c r="C190" s="33">
        <f>SUM(D190:M190)</f>
        <v>475446.94533762056</v>
      </c>
      <c r="D190" s="33">
        <f>D88</f>
        <v>0</v>
      </c>
      <c r="E190" s="33">
        <f t="shared" ref="E190:M190" si="55">E88</f>
        <v>0</v>
      </c>
      <c r="F190" s="33">
        <f t="shared" si="55"/>
        <v>0</v>
      </c>
      <c r="G190" s="33">
        <f t="shared" si="55"/>
        <v>42507.482914829961</v>
      </c>
      <c r="H190" s="33">
        <f t="shared" si="55"/>
        <v>90782.986999346074</v>
      </c>
      <c r="I190" s="33">
        <f t="shared" si="55"/>
        <v>101959.72745045557</v>
      </c>
      <c r="J190" s="33">
        <f t="shared" si="55"/>
        <v>94082.896533497769</v>
      </c>
      <c r="K190" s="33">
        <f t="shared" si="55"/>
        <v>92379.983668712026</v>
      </c>
      <c r="L190" s="33">
        <f t="shared" si="55"/>
        <v>53733.867770779194</v>
      </c>
      <c r="M190" s="33">
        <f t="shared" si="55"/>
        <v>0</v>
      </c>
    </row>
    <row r="191" spans="1:13" x14ac:dyDescent="0.3">
      <c r="A191" s="121" t="s">
        <v>100</v>
      </c>
      <c r="B191" s="121" t="s">
        <v>101</v>
      </c>
      <c r="C191" s="33"/>
      <c r="D191" s="164">
        <v>1.2500000000000001E-2</v>
      </c>
      <c r="E191" s="164">
        <f t="shared" ref="E191:M191" si="56">D191</f>
        <v>1.2500000000000001E-2</v>
      </c>
      <c r="F191" s="164">
        <f t="shared" si="56"/>
        <v>1.2500000000000001E-2</v>
      </c>
      <c r="G191" s="164">
        <f t="shared" si="56"/>
        <v>1.2500000000000001E-2</v>
      </c>
      <c r="H191" s="164">
        <f t="shared" si="56"/>
        <v>1.2500000000000001E-2</v>
      </c>
      <c r="I191" s="164">
        <f t="shared" si="56"/>
        <v>1.2500000000000001E-2</v>
      </c>
      <c r="J191" s="164">
        <f t="shared" si="56"/>
        <v>1.2500000000000001E-2</v>
      </c>
      <c r="K191" s="164">
        <f t="shared" si="56"/>
        <v>1.2500000000000001E-2</v>
      </c>
      <c r="L191" s="164">
        <f t="shared" si="56"/>
        <v>1.2500000000000001E-2</v>
      </c>
      <c r="M191" s="164">
        <f t="shared" si="56"/>
        <v>1.2500000000000001E-2</v>
      </c>
    </row>
    <row r="192" spans="1:13" s="35" customFormat="1" x14ac:dyDescent="0.3">
      <c r="A192" s="34" t="str">
        <f>A187</f>
        <v>Private Royalties</v>
      </c>
      <c r="B192" s="17" t="s">
        <v>124</v>
      </c>
      <c r="C192" s="32">
        <f>SUM(D192:M192)</f>
        <v>5943.086816720257</v>
      </c>
      <c r="D192" s="79">
        <f>D190*D191</f>
        <v>0</v>
      </c>
      <c r="E192" s="79">
        <f t="shared" ref="E192:M192" si="57">E190*E191</f>
        <v>0</v>
      </c>
      <c r="F192" s="79">
        <f t="shared" si="57"/>
        <v>0</v>
      </c>
      <c r="G192" s="79">
        <f t="shared" si="57"/>
        <v>531.34353643537452</v>
      </c>
      <c r="H192" s="79">
        <f t="shared" si="57"/>
        <v>1134.7873374918261</v>
      </c>
      <c r="I192" s="79">
        <f t="shared" si="57"/>
        <v>1274.4965931306947</v>
      </c>
      <c r="J192" s="79">
        <f t="shared" si="57"/>
        <v>1176.0362066687221</v>
      </c>
      <c r="K192" s="79">
        <f t="shared" si="57"/>
        <v>1154.7497958589004</v>
      </c>
      <c r="L192" s="79">
        <f t="shared" si="57"/>
        <v>671.67334713473997</v>
      </c>
      <c r="M192" s="79">
        <f t="shared" si="57"/>
        <v>0</v>
      </c>
    </row>
    <row r="193" spans="1:13" s="35" customFormat="1" x14ac:dyDescent="0.3">
      <c r="A193" s="34"/>
      <c r="B193" s="17"/>
      <c r="C193" s="32"/>
      <c r="D193" s="32"/>
      <c r="E193" s="32"/>
      <c r="F193" s="32"/>
      <c r="G193" s="32"/>
      <c r="H193" s="32"/>
      <c r="I193" s="32"/>
      <c r="J193" s="32"/>
      <c r="K193" s="32"/>
      <c r="L193" s="32"/>
      <c r="M193" s="32"/>
    </row>
    <row r="194" spans="1:13" x14ac:dyDescent="0.3">
      <c r="A194" s="31" t="s">
        <v>130</v>
      </c>
      <c r="B194" s="18"/>
      <c r="D194" s="129"/>
      <c r="E194" s="17"/>
      <c r="F194" s="21"/>
      <c r="G194" s="21"/>
      <c r="H194" s="21"/>
      <c r="I194" s="21"/>
      <c r="J194" s="21"/>
      <c r="K194" s="21"/>
      <c r="L194" s="21"/>
      <c r="M194" s="21"/>
    </row>
    <row r="195" spans="1:13" x14ac:dyDescent="0.3">
      <c r="A195" s="92" t="s">
        <v>222</v>
      </c>
      <c r="B195" s="18"/>
      <c r="D195" s="17"/>
      <c r="E195" s="21"/>
      <c r="F195" s="21"/>
      <c r="G195" s="21"/>
      <c r="H195" s="21"/>
      <c r="I195" s="21"/>
      <c r="J195" s="21"/>
      <c r="K195" s="21"/>
      <c r="L195" s="21"/>
      <c r="M195" s="21"/>
    </row>
    <row r="196" spans="1:13" s="35" customFormat="1" x14ac:dyDescent="0.3">
      <c r="A196" s="35" t="str">
        <f>A67</f>
        <v>Waste removed</v>
      </c>
      <c r="B196" s="35" t="str">
        <f>B67</f>
        <v>000 dry tonnes</v>
      </c>
      <c r="C196" s="33">
        <f>SUM(D196:M196)</f>
        <v>3580</v>
      </c>
      <c r="D196" s="33">
        <f t="shared" ref="D196:M196" si="58">D67</f>
        <v>0</v>
      </c>
      <c r="E196" s="33">
        <f t="shared" si="58"/>
        <v>0</v>
      </c>
      <c r="F196" s="33">
        <f t="shared" si="58"/>
        <v>950</v>
      </c>
      <c r="G196" s="33">
        <f t="shared" si="58"/>
        <v>700</v>
      </c>
      <c r="H196" s="33">
        <f t="shared" si="58"/>
        <v>700</v>
      </c>
      <c r="I196" s="33">
        <f t="shared" si="58"/>
        <v>700</v>
      </c>
      <c r="J196" s="33">
        <f t="shared" si="58"/>
        <v>300</v>
      </c>
      <c r="K196" s="33">
        <f t="shared" si="58"/>
        <v>230</v>
      </c>
      <c r="L196" s="33">
        <f t="shared" si="58"/>
        <v>0</v>
      </c>
      <c r="M196" s="33">
        <f t="shared" si="58"/>
        <v>0</v>
      </c>
    </row>
    <row r="197" spans="1:13" s="35" customFormat="1" x14ac:dyDescent="0.3">
      <c r="A197" s="35" t="str">
        <f>A68</f>
        <v>Ore production</v>
      </c>
      <c r="B197" s="35" t="str">
        <f>B68</f>
        <v>000 dry tonnes</v>
      </c>
      <c r="C197" s="33">
        <f>SUM(D197:M197)</f>
        <v>3100</v>
      </c>
      <c r="D197" s="33">
        <f t="shared" ref="D197:M197" si="59">D68</f>
        <v>0</v>
      </c>
      <c r="E197" s="33">
        <f t="shared" si="59"/>
        <v>0</v>
      </c>
      <c r="F197" s="33">
        <f t="shared" si="59"/>
        <v>0</v>
      </c>
      <c r="G197" s="33">
        <f t="shared" si="59"/>
        <v>400</v>
      </c>
      <c r="H197" s="33">
        <f t="shared" si="59"/>
        <v>600</v>
      </c>
      <c r="I197" s="33">
        <f t="shared" si="59"/>
        <v>600</v>
      </c>
      <c r="J197" s="33">
        <f t="shared" si="59"/>
        <v>600</v>
      </c>
      <c r="K197" s="33">
        <f t="shared" si="59"/>
        <v>600</v>
      </c>
      <c r="L197" s="33">
        <f t="shared" si="59"/>
        <v>300</v>
      </c>
      <c r="M197" s="33">
        <f t="shared" si="59"/>
        <v>0</v>
      </c>
    </row>
    <row r="198" spans="1:13" x14ac:dyDescent="0.3">
      <c r="A198" s="121" t="s">
        <v>95</v>
      </c>
      <c r="B198" s="121" t="s">
        <v>196</v>
      </c>
      <c r="C198" s="33"/>
      <c r="D198" s="165">
        <v>0.2</v>
      </c>
      <c r="E198" s="125">
        <f t="shared" ref="E198:M198" si="60">D198</f>
        <v>0.2</v>
      </c>
      <c r="F198" s="125">
        <f t="shared" si="60"/>
        <v>0.2</v>
      </c>
      <c r="G198" s="125">
        <f t="shared" si="60"/>
        <v>0.2</v>
      </c>
      <c r="H198" s="125">
        <f t="shared" si="60"/>
        <v>0.2</v>
      </c>
      <c r="I198" s="125">
        <f t="shared" si="60"/>
        <v>0.2</v>
      </c>
      <c r="J198" s="125">
        <f t="shared" si="60"/>
        <v>0.2</v>
      </c>
      <c r="K198" s="125">
        <f t="shared" si="60"/>
        <v>0.2</v>
      </c>
      <c r="L198" s="125">
        <f t="shared" si="60"/>
        <v>0.2</v>
      </c>
      <c r="M198" s="125">
        <f t="shared" si="60"/>
        <v>0.2</v>
      </c>
    </row>
    <row r="199" spans="1:13" s="35" customFormat="1" x14ac:dyDescent="0.3">
      <c r="A199" s="35" t="s">
        <v>131</v>
      </c>
      <c r="B199" s="17" t="s">
        <v>124</v>
      </c>
      <c r="C199" s="33">
        <f>SUM(D199:M199)</f>
        <v>1336</v>
      </c>
      <c r="D199" s="33">
        <f>(D196+D197)*D198</f>
        <v>0</v>
      </c>
      <c r="E199" s="33">
        <f t="shared" ref="E199:M199" si="61">(E196+E197)*E198</f>
        <v>0</v>
      </c>
      <c r="F199" s="33">
        <f t="shared" si="61"/>
        <v>190</v>
      </c>
      <c r="G199" s="33">
        <f t="shared" si="61"/>
        <v>220</v>
      </c>
      <c r="H199" s="33">
        <f t="shared" si="61"/>
        <v>260</v>
      </c>
      <c r="I199" s="33">
        <f t="shared" si="61"/>
        <v>260</v>
      </c>
      <c r="J199" s="33">
        <f t="shared" si="61"/>
        <v>180</v>
      </c>
      <c r="K199" s="33">
        <f t="shared" si="61"/>
        <v>166</v>
      </c>
      <c r="L199" s="33">
        <f t="shared" si="61"/>
        <v>60</v>
      </c>
      <c r="M199" s="33">
        <f t="shared" si="61"/>
        <v>0</v>
      </c>
    </row>
    <row r="200" spans="1:13" ht="9.5" customHeight="1" x14ac:dyDescent="0.3">
      <c r="A200" s="23"/>
      <c r="C200" s="11"/>
    </row>
    <row r="201" spans="1:13" x14ac:dyDescent="0.3">
      <c r="A201" s="121" t="s">
        <v>132</v>
      </c>
      <c r="B201" s="121" t="s">
        <v>129</v>
      </c>
      <c r="C201" s="33"/>
      <c r="D201" s="166">
        <v>40000</v>
      </c>
      <c r="E201" s="123">
        <f>D201</f>
        <v>40000</v>
      </c>
      <c r="F201" s="123">
        <f t="shared" ref="F201:M201" si="62">E201</f>
        <v>40000</v>
      </c>
      <c r="G201" s="123">
        <f t="shared" si="62"/>
        <v>40000</v>
      </c>
      <c r="H201" s="123">
        <f t="shared" si="62"/>
        <v>40000</v>
      </c>
      <c r="I201" s="123">
        <f t="shared" si="62"/>
        <v>40000</v>
      </c>
      <c r="J201" s="123">
        <f t="shared" si="62"/>
        <v>40000</v>
      </c>
      <c r="K201" s="123">
        <f t="shared" si="62"/>
        <v>40000</v>
      </c>
      <c r="L201" s="123">
        <f t="shared" si="62"/>
        <v>40000</v>
      </c>
      <c r="M201" s="123">
        <f t="shared" si="62"/>
        <v>40000</v>
      </c>
    </row>
    <row r="202" spans="1:13" s="35" customFormat="1" x14ac:dyDescent="0.3">
      <c r="A202" s="35" t="s">
        <v>133</v>
      </c>
      <c r="B202" s="17" t="s">
        <v>124</v>
      </c>
      <c r="C202" s="33">
        <f>SUM(D202:M202)</f>
        <v>40000</v>
      </c>
      <c r="D202" s="167"/>
      <c r="E202" s="33">
        <f>IF(AND(D197&gt;0,E197=0),E201,0)</f>
        <v>0</v>
      </c>
      <c r="F202" s="33">
        <f t="shared" ref="F202:M202" si="63">IF(AND(E197&gt;0,F197=0),F201,0)</f>
        <v>0</v>
      </c>
      <c r="G202" s="33">
        <f t="shared" si="63"/>
        <v>0</v>
      </c>
      <c r="H202" s="33">
        <f t="shared" si="63"/>
        <v>0</v>
      </c>
      <c r="I202" s="33">
        <f t="shared" si="63"/>
        <v>0</v>
      </c>
      <c r="J202" s="33">
        <f t="shared" si="63"/>
        <v>0</v>
      </c>
      <c r="K202" s="33">
        <f t="shared" si="63"/>
        <v>0</v>
      </c>
      <c r="L202" s="33">
        <f t="shared" si="63"/>
        <v>0</v>
      </c>
      <c r="M202" s="33">
        <f t="shared" si="63"/>
        <v>40000</v>
      </c>
    </row>
    <row r="203" spans="1:13" s="35" customFormat="1" ht="7.25" customHeight="1" x14ac:dyDescent="0.3">
      <c r="A203" s="34"/>
      <c r="B203" s="34"/>
      <c r="C203" s="32"/>
      <c r="D203" s="32"/>
      <c r="E203" s="32"/>
      <c r="F203" s="32"/>
      <c r="G203" s="32"/>
      <c r="H203" s="32"/>
      <c r="I203" s="32"/>
      <c r="J203" s="32"/>
      <c r="K203" s="32"/>
      <c r="L203" s="32"/>
      <c r="M203" s="32"/>
    </row>
    <row r="204" spans="1:13" s="35" customFormat="1" x14ac:dyDescent="0.3">
      <c r="A204" s="34" t="str">
        <f>A194</f>
        <v>Rehab &amp; Closure</v>
      </c>
      <c r="B204" s="17" t="s">
        <v>124</v>
      </c>
      <c r="C204" s="32">
        <f>SUM(D204:M204)</f>
        <v>41336</v>
      </c>
      <c r="D204" s="79">
        <f>D199+D202</f>
        <v>0</v>
      </c>
      <c r="E204" s="79">
        <f t="shared" ref="E204:M204" si="64">E199+E202</f>
        <v>0</v>
      </c>
      <c r="F204" s="79">
        <f t="shared" si="64"/>
        <v>190</v>
      </c>
      <c r="G204" s="79">
        <f t="shared" si="64"/>
        <v>220</v>
      </c>
      <c r="H204" s="79">
        <f t="shared" si="64"/>
        <v>260</v>
      </c>
      <c r="I204" s="79">
        <f t="shared" si="64"/>
        <v>260</v>
      </c>
      <c r="J204" s="79">
        <f t="shared" si="64"/>
        <v>180</v>
      </c>
      <c r="K204" s="79">
        <f t="shared" si="64"/>
        <v>166</v>
      </c>
      <c r="L204" s="79">
        <f t="shared" si="64"/>
        <v>60</v>
      </c>
      <c r="M204" s="79">
        <f t="shared" si="64"/>
        <v>40000</v>
      </c>
    </row>
    <row r="205" spans="1:13" s="35" customFormat="1" ht="15" customHeight="1" x14ac:dyDescent="0.3">
      <c r="B205" s="17"/>
      <c r="C205" s="33"/>
      <c r="D205" s="33"/>
      <c r="E205" s="33"/>
      <c r="F205" s="33"/>
      <c r="G205" s="33"/>
      <c r="H205" s="33"/>
      <c r="I205" s="33"/>
      <c r="J205" s="33"/>
      <c r="K205" s="33"/>
      <c r="L205" s="33"/>
      <c r="M205" s="33"/>
    </row>
    <row r="206" spans="1:13" ht="15.5" x14ac:dyDescent="0.35">
      <c r="A206" s="107" t="s">
        <v>143</v>
      </c>
      <c r="B206" s="17" t="s">
        <v>124</v>
      </c>
      <c r="C206" s="155">
        <f>SUM(D206:M206)</f>
        <v>329066.96463022503</v>
      </c>
      <c r="D206" s="108">
        <f t="shared" ref="D206:M206" si="65">D158+D174+D185+D192+D204</f>
        <v>0</v>
      </c>
      <c r="E206" s="108">
        <f t="shared" si="65"/>
        <v>0</v>
      </c>
      <c r="F206" s="108">
        <f t="shared" si="65"/>
        <v>3990</v>
      </c>
      <c r="G206" s="108">
        <f t="shared" si="65"/>
        <v>40900.989838686175</v>
      </c>
      <c r="H206" s="108">
        <f t="shared" si="65"/>
        <v>53170.607273183145</v>
      </c>
      <c r="I206" s="108">
        <f t="shared" si="65"/>
        <v>53752.310097953843</v>
      </c>
      <c r="J206" s="108">
        <f t="shared" si="65"/>
        <v>51847.869004096377</v>
      </c>
      <c r="K206" s="108">
        <f t="shared" si="65"/>
        <v>51832.582593286555</v>
      </c>
      <c r="L206" s="108">
        <f t="shared" si="65"/>
        <v>33572.605823018981</v>
      </c>
      <c r="M206" s="108">
        <f t="shared" si="65"/>
        <v>40000</v>
      </c>
    </row>
    <row r="207" spans="1:13" ht="11.5" customHeight="1" x14ac:dyDescent="0.35">
      <c r="A207" s="107"/>
      <c r="C207" s="155"/>
      <c r="D207" s="168"/>
      <c r="E207" s="168"/>
      <c r="F207" s="168"/>
      <c r="G207" s="168"/>
      <c r="H207" s="168"/>
      <c r="I207" s="168"/>
      <c r="J207" s="168"/>
      <c r="K207" s="168"/>
      <c r="L207" s="168"/>
      <c r="M207" s="168"/>
    </row>
    <row r="208" spans="1:13" x14ac:dyDescent="0.3">
      <c r="A208" s="169" t="s">
        <v>220</v>
      </c>
      <c r="C208" s="32"/>
      <c r="D208" s="32"/>
      <c r="E208" s="32"/>
      <c r="F208" s="32"/>
      <c r="G208" s="32"/>
      <c r="H208" s="32"/>
      <c r="I208" s="32"/>
      <c r="J208" s="32"/>
      <c r="K208" s="32"/>
      <c r="L208" s="32"/>
      <c r="M208" s="32"/>
    </row>
    <row r="209" spans="1:13" x14ac:dyDescent="0.3">
      <c r="A209" s="58" t="s">
        <v>223</v>
      </c>
      <c r="B209" s="18"/>
      <c r="D209" s="21"/>
      <c r="E209" s="21"/>
      <c r="F209" s="21"/>
      <c r="G209" s="21"/>
      <c r="H209" s="21"/>
      <c r="I209" s="21"/>
      <c r="J209" s="21"/>
      <c r="K209" s="21"/>
      <c r="L209" s="21"/>
      <c r="M209" s="21"/>
    </row>
    <row r="210" spans="1:13" x14ac:dyDescent="0.3">
      <c r="A210" s="60" t="s">
        <v>219</v>
      </c>
      <c r="B210" s="35" t="s">
        <v>123</v>
      </c>
      <c r="C210" s="32">
        <f>IF(C72=0,0,C206/C72)</f>
        <v>1384.2426283611965</v>
      </c>
      <c r="D210" s="33">
        <f>IF(D72=0,0,D206/D72)</f>
        <v>0</v>
      </c>
      <c r="E210" s="33">
        <f>IF(E72=0,0,E206/E72)</f>
        <v>0</v>
      </c>
      <c r="F210" s="33">
        <f>IF(F72=0,0,#REF!/F72)</f>
        <v>0</v>
      </c>
      <c r="G210" s="33">
        <f t="shared" ref="G210:M210" si="66">IF(G72=0,0,G206/G72)</f>
        <v>1596.4116264848647</v>
      </c>
      <c r="H210" s="33">
        <f t="shared" si="66"/>
        <v>1069.879584754138</v>
      </c>
      <c r="I210" s="33">
        <f t="shared" si="66"/>
        <v>1044.2883833373091</v>
      </c>
      <c r="J210" s="33">
        <f t="shared" si="66"/>
        <v>1123.5149986255556</v>
      </c>
      <c r="K210" s="33">
        <f t="shared" si="66"/>
        <v>1123.183750453743</v>
      </c>
      <c r="L210" s="33">
        <f t="shared" si="66"/>
        <v>1801.4286423324538</v>
      </c>
      <c r="M210" s="33">
        <f t="shared" si="66"/>
        <v>0</v>
      </c>
    </row>
    <row r="211" spans="1:13" x14ac:dyDescent="0.3">
      <c r="A211" s="60" t="s">
        <v>107</v>
      </c>
      <c r="B211" s="35" t="s">
        <v>123</v>
      </c>
      <c r="C211" s="32">
        <f>IF(C72=0,0,(C206+C219)/C72)</f>
        <v>1444.2426283611967</v>
      </c>
      <c r="D211" s="33">
        <f>IF(D72=0,0,(D206+D219)/D72)</f>
        <v>0</v>
      </c>
      <c r="E211" s="33">
        <f>IF(E72=0,0,(E206+E219)/E72)</f>
        <v>0</v>
      </c>
      <c r="F211" s="33">
        <f>IF(F72=0,0,(#REF!+F219)/F72)</f>
        <v>0</v>
      </c>
      <c r="G211" s="33">
        <f t="shared" ref="G211:M211" si="67">IF(G72=0,0,(G206+G219)/G72)</f>
        <v>1646.1850722172144</v>
      </c>
      <c r="H211" s="33">
        <f t="shared" si="67"/>
        <v>1124.6806502758707</v>
      </c>
      <c r="I211" s="33">
        <f t="shared" si="67"/>
        <v>1103.7139366302097</v>
      </c>
      <c r="J211" s="33">
        <f t="shared" si="67"/>
        <v>1184.6767478352501</v>
      </c>
      <c r="K211" s="33">
        <f t="shared" si="67"/>
        <v>1183.2384639173079</v>
      </c>
      <c r="L211" s="33">
        <f t="shared" si="67"/>
        <v>1887.9257069117102</v>
      </c>
      <c r="M211" s="33">
        <f t="shared" si="67"/>
        <v>0</v>
      </c>
    </row>
    <row r="212" spans="1:13" x14ac:dyDescent="0.3">
      <c r="A212" s="18"/>
      <c r="B212" s="18"/>
      <c r="D212" s="21"/>
      <c r="E212" s="21"/>
      <c r="F212" s="21"/>
      <c r="G212" s="21"/>
      <c r="H212" s="21"/>
      <c r="I212" s="21"/>
      <c r="J212" s="21"/>
      <c r="K212" s="21"/>
      <c r="L212" s="21"/>
      <c r="M212" s="21"/>
    </row>
    <row r="213" spans="1:13" s="183" customFormat="1" ht="33.5" customHeight="1" x14ac:dyDescent="0.35">
      <c r="A213" s="180" t="str">
        <f>'Results &amp; Common Inputs'!A$28</f>
        <v>Life of Business</v>
      </c>
      <c r="B213" s="180" t="str">
        <f>'Results &amp; Common Inputs'!B$28</f>
        <v>units</v>
      </c>
      <c r="C213" s="181" t="str">
        <f>'Results &amp; Common Inputs'!C$28</f>
        <v>Total</v>
      </c>
      <c r="D213" s="182">
        <f>'Results &amp; Common Inputs'!D$28</f>
        <v>2026</v>
      </c>
      <c r="E213" s="182">
        <f>'Results &amp; Common Inputs'!E$28</f>
        <v>2027</v>
      </c>
      <c r="F213" s="182">
        <f>'Results &amp; Common Inputs'!F$28</f>
        <v>2028</v>
      </c>
      <c r="G213" s="182">
        <f>'Results &amp; Common Inputs'!G$28</f>
        <v>2029</v>
      </c>
      <c r="H213" s="182">
        <f>'Results &amp; Common Inputs'!H$28</f>
        <v>2030</v>
      </c>
      <c r="I213" s="182">
        <f>'Results &amp; Common Inputs'!I$28</f>
        <v>2031</v>
      </c>
      <c r="J213" s="182">
        <f>'Results &amp; Common Inputs'!J$28</f>
        <v>2032</v>
      </c>
      <c r="K213" s="182">
        <f>'Results &amp; Common Inputs'!K$28</f>
        <v>2033</v>
      </c>
      <c r="L213" s="182">
        <f>'Results &amp; Common Inputs'!L$28</f>
        <v>2034</v>
      </c>
      <c r="M213" s="182">
        <f>'Results &amp; Common Inputs'!M$28</f>
        <v>2035</v>
      </c>
    </row>
    <row r="214" spans="1:13" s="63" customFormat="1" ht="43.75" customHeight="1" x14ac:dyDescent="0.35">
      <c r="A214" s="98" t="s">
        <v>27</v>
      </c>
      <c r="C214" s="64"/>
      <c r="D214" s="64"/>
      <c r="E214" s="64"/>
      <c r="F214" s="64"/>
      <c r="G214" s="64"/>
      <c r="H214" s="64"/>
      <c r="I214" s="64"/>
      <c r="J214" s="64"/>
      <c r="K214" s="64"/>
      <c r="L214" s="64"/>
      <c r="M214" s="64"/>
    </row>
    <row r="215" spans="1:13" x14ac:dyDescent="0.3">
      <c r="A215" s="31" t="s">
        <v>28</v>
      </c>
      <c r="B215" s="18"/>
      <c r="D215" s="21"/>
      <c r="E215" s="21"/>
      <c r="F215" s="21"/>
      <c r="G215" s="21"/>
      <c r="H215" s="21"/>
      <c r="I215" s="21"/>
      <c r="J215" s="21"/>
      <c r="K215" s="21"/>
      <c r="L215" s="21"/>
      <c r="M215" s="21"/>
    </row>
    <row r="216" spans="1:13" x14ac:dyDescent="0.3">
      <c r="A216" s="92" t="s">
        <v>224</v>
      </c>
      <c r="C216" s="11"/>
    </row>
    <row r="217" spans="1:13" s="35" customFormat="1" x14ac:dyDescent="0.3">
      <c r="A217" s="35" t="str">
        <f>A$88</f>
        <v>Cashstream 1: Revenue - Low Capex Case</v>
      </c>
      <c r="B217" s="35" t="str">
        <f>B$88</f>
        <v>US$ 000 Real</v>
      </c>
      <c r="C217" s="33">
        <f t="shared" ref="C217" si="68">SUM(D217:M217)</f>
        <v>475446.94533762056</v>
      </c>
      <c r="D217" s="33">
        <f t="shared" ref="D217:M217" si="69">D$88</f>
        <v>0</v>
      </c>
      <c r="E217" s="33">
        <f t="shared" si="69"/>
        <v>0</v>
      </c>
      <c r="F217" s="33">
        <f t="shared" si="69"/>
        <v>0</v>
      </c>
      <c r="G217" s="33">
        <f t="shared" si="69"/>
        <v>42507.482914829961</v>
      </c>
      <c r="H217" s="33">
        <f t="shared" si="69"/>
        <v>90782.986999346074</v>
      </c>
      <c r="I217" s="33">
        <f t="shared" si="69"/>
        <v>101959.72745045557</v>
      </c>
      <c r="J217" s="33">
        <f t="shared" si="69"/>
        <v>94082.896533497769</v>
      </c>
      <c r="K217" s="33">
        <f t="shared" si="69"/>
        <v>92379.983668712026</v>
      </c>
      <c r="L217" s="33">
        <f t="shared" si="69"/>
        <v>53733.867770779194</v>
      </c>
      <c r="M217" s="33">
        <f t="shared" si="69"/>
        <v>0</v>
      </c>
    </row>
    <row r="218" spans="1:13" s="161" customFormat="1" x14ac:dyDescent="0.3">
      <c r="A218" s="170" t="str">
        <f>'Results &amp; Common Inputs'!A35</f>
        <v>State Royalty</v>
      </c>
      <c r="B218" s="170" t="str">
        <f>'Results &amp; Common Inputs'!B35</f>
        <v>% of revenue</v>
      </c>
      <c r="C218" s="170"/>
      <c r="D218" s="171">
        <f>'Results &amp; Common Inputs'!D35</f>
        <v>0.03</v>
      </c>
      <c r="E218" s="171">
        <f>'Results &amp; Common Inputs'!E35</f>
        <v>0.03</v>
      </c>
      <c r="F218" s="171">
        <f>'Results &amp; Common Inputs'!F35</f>
        <v>0.03</v>
      </c>
      <c r="G218" s="171">
        <f>'Results &amp; Common Inputs'!G35</f>
        <v>0.03</v>
      </c>
      <c r="H218" s="171">
        <f>'Results &amp; Common Inputs'!H35</f>
        <v>0.03</v>
      </c>
      <c r="I218" s="171">
        <f>'Results &amp; Common Inputs'!I35</f>
        <v>0.03</v>
      </c>
      <c r="J218" s="171">
        <f>'Results &amp; Common Inputs'!J35</f>
        <v>0.03</v>
      </c>
      <c r="K218" s="171">
        <f>'Results &amp; Common Inputs'!K35</f>
        <v>0.03</v>
      </c>
      <c r="L218" s="171">
        <f>'Results &amp; Common Inputs'!L35</f>
        <v>0.03</v>
      </c>
      <c r="M218" s="171">
        <f>'Results &amp; Common Inputs'!M35</f>
        <v>0.03</v>
      </c>
    </row>
    <row r="219" spans="1:13" s="35" customFormat="1" x14ac:dyDescent="0.3">
      <c r="A219" s="34" t="s">
        <v>29</v>
      </c>
      <c r="B219" s="17" t="s">
        <v>124</v>
      </c>
      <c r="C219" s="32">
        <f>SUM(D219:M219)</f>
        <v>14263.408360128618</v>
      </c>
      <c r="D219" s="79">
        <f>D217*D218</f>
        <v>0</v>
      </c>
      <c r="E219" s="79">
        <f t="shared" ref="E219:M219" si="70">E217*E218</f>
        <v>0</v>
      </c>
      <c r="F219" s="79">
        <f t="shared" si="70"/>
        <v>0</v>
      </c>
      <c r="G219" s="79">
        <f t="shared" si="70"/>
        <v>1275.2244874448988</v>
      </c>
      <c r="H219" s="79">
        <f t="shared" si="70"/>
        <v>2723.4896099803823</v>
      </c>
      <c r="I219" s="79">
        <f t="shared" si="70"/>
        <v>3058.7918235136667</v>
      </c>
      <c r="J219" s="79">
        <f t="shared" si="70"/>
        <v>2822.486896004933</v>
      </c>
      <c r="K219" s="79">
        <f t="shared" si="70"/>
        <v>2771.3995100613606</v>
      </c>
      <c r="L219" s="79">
        <f t="shared" si="70"/>
        <v>1612.0160331233758</v>
      </c>
      <c r="M219" s="79">
        <f t="shared" si="70"/>
        <v>0</v>
      </c>
    </row>
    <row r="220" spans="1:13" x14ac:dyDescent="0.3">
      <c r="A220" s="18"/>
      <c r="B220" s="18"/>
      <c r="D220" s="21"/>
      <c r="E220" s="21"/>
      <c r="F220" s="21"/>
      <c r="G220" s="21"/>
      <c r="H220" s="21"/>
      <c r="I220" s="21"/>
      <c r="J220" s="21"/>
      <c r="K220" s="21"/>
      <c r="L220" s="21"/>
      <c r="M220" s="21"/>
    </row>
    <row r="221" spans="1:13" x14ac:dyDescent="0.3">
      <c r="A221" s="31" t="s">
        <v>31</v>
      </c>
      <c r="B221" s="18"/>
      <c r="D221" s="21"/>
      <c r="E221" s="21"/>
      <c r="F221" s="21"/>
      <c r="G221" s="21"/>
      <c r="H221" s="21"/>
      <c r="I221" s="21"/>
      <c r="J221" s="21"/>
      <c r="K221" s="21"/>
      <c r="L221" s="21"/>
      <c r="M221" s="21"/>
    </row>
    <row r="222" spans="1:13" x14ac:dyDescent="0.3">
      <c r="A222" s="23" t="s">
        <v>226</v>
      </c>
      <c r="B222" s="18"/>
      <c r="D222" s="21"/>
      <c r="E222" s="21"/>
      <c r="F222" s="21"/>
      <c r="G222" s="21"/>
      <c r="H222" s="21"/>
      <c r="I222" s="21"/>
      <c r="J222" s="21"/>
      <c r="K222" s="21"/>
      <c r="L222" s="21"/>
      <c r="M222" s="21"/>
    </row>
    <row r="223" spans="1:13" x14ac:dyDescent="0.3">
      <c r="A223" s="23" t="s">
        <v>227</v>
      </c>
      <c r="B223" s="18"/>
      <c r="D223" s="21"/>
      <c r="E223" s="21"/>
      <c r="F223" s="21"/>
      <c r="G223" s="21"/>
      <c r="H223" s="21"/>
      <c r="I223" s="21"/>
      <c r="J223" s="21"/>
      <c r="K223" s="21"/>
      <c r="L223" s="21"/>
      <c r="M223" s="21"/>
    </row>
    <row r="224" spans="1:13" x14ac:dyDescent="0.3">
      <c r="A224" s="23" t="s">
        <v>228</v>
      </c>
      <c r="B224" s="18"/>
      <c r="D224" s="21"/>
      <c r="E224" s="21"/>
      <c r="F224" s="21"/>
      <c r="G224" s="21"/>
      <c r="H224" s="21"/>
      <c r="I224" s="21"/>
      <c r="J224" s="21"/>
      <c r="K224" s="21"/>
      <c r="L224" s="21"/>
      <c r="M224" s="21"/>
    </row>
    <row r="225" spans="1:13" x14ac:dyDescent="0.3">
      <c r="A225" s="23" t="s">
        <v>225</v>
      </c>
      <c r="B225" s="18"/>
      <c r="D225" s="21"/>
      <c r="E225" s="21"/>
      <c r="F225" s="21"/>
      <c r="G225" s="21"/>
      <c r="H225" s="21"/>
      <c r="I225" s="21"/>
      <c r="J225" s="21"/>
      <c r="K225" s="21"/>
      <c r="L225" s="21"/>
      <c r="M225" s="21"/>
    </row>
    <row r="226" spans="1:13" x14ac:dyDescent="0.3">
      <c r="A226" s="23" t="s">
        <v>229</v>
      </c>
      <c r="B226" s="18"/>
      <c r="D226" s="21"/>
      <c r="E226" s="21"/>
      <c r="F226" s="21"/>
      <c r="G226" s="21"/>
      <c r="H226" s="21"/>
      <c r="I226" s="21"/>
      <c r="J226" s="21"/>
      <c r="K226" s="21"/>
      <c r="L226" s="21"/>
      <c r="M226" s="21"/>
    </row>
    <row r="227" spans="1:13" x14ac:dyDescent="0.3">
      <c r="A227" s="23"/>
      <c r="B227" s="18"/>
      <c r="D227" s="21"/>
      <c r="E227" s="21"/>
      <c r="F227" s="21"/>
      <c r="G227" s="21"/>
      <c r="H227" s="21"/>
      <c r="I227" s="21"/>
      <c r="J227" s="21"/>
      <c r="K227" s="21"/>
      <c r="L227" s="21"/>
      <c r="M227" s="21"/>
    </row>
    <row r="228" spans="1:13" x14ac:dyDescent="0.3">
      <c r="A228" s="92" t="s">
        <v>230</v>
      </c>
      <c r="B228" s="18"/>
      <c r="D228" s="21"/>
      <c r="E228" s="21"/>
      <c r="F228" s="21"/>
      <c r="G228" s="21"/>
      <c r="H228" s="21"/>
      <c r="I228" s="21"/>
      <c r="J228" s="21"/>
      <c r="K228" s="21"/>
      <c r="L228" s="21"/>
      <c r="M228" s="21"/>
    </row>
    <row r="229" spans="1:13" s="35" customFormat="1" x14ac:dyDescent="0.3">
      <c r="A229" s="35" t="str">
        <f>A$88</f>
        <v>Cashstream 1: Revenue - Low Capex Case</v>
      </c>
      <c r="B229" s="35" t="str">
        <f>B$88</f>
        <v>US$ 000 Real</v>
      </c>
      <c r="C229" s="33">
        <f t="shared" ref="C229:C234" si="71">SUM(D229:M229)</f>
        <v>475446.94533762056</v>
      </c>
      <c r="D229" s="33">
        <f t="shared" ref="D229:M229" si="72">D$88</f>
        <v>0</v>
      </c>
      <c r="E229" s="33">
        <f t="shared" si="72"/>
        <v>0</v>
      </c>
      <c r="F229" s="33">
        <f t="shared" si="72"/>
        <v>0</v>
      </c>
      <c r="G229" s="33">
        <f t="shared" si="72"/>
        <v>42507.482914829961</v>
      </c>
      <c r="H229" s="33">
        <f t="shared" si="72"/>
        <v>90782.986999346074</v>
      </c>
      <c r="I229" s="33">
        <f t="shared" si="72"/>
        <v>101959.72745045557</v>
      </c>
      <c r="J229" s="33">
        <f t="shared" si="72"/>
        <v>94082.896533497769</v>
      </c>
      <c r="K229" s="33">
        <f t="shared" si="72"/>
        <v>92379.983668712026</v>
      </c>
      <c r="L229" s="33">
        <f t="shared" si="72"/>
        <v>53733.867770779194</v>
      </c>
      <c r="M229" s="33">
        <f t="shared" si="72"/>
        <v>0</v>
      </c>
    </row>
    <row r="230" spans="1:13" s="35" customFormat="1" ht="14.25" customHeight="1" x14ac:dyDescent="0.3">
      <c r="A230" s="35" t="s">
        <v>30</v>
      </c>
      <c r="C230" s="33"/>
      <c r="D230" s="33"/>
      <c r="E230" s="33"/>
      <c r="F230" s="33"/>
      <c r="G230" s="33"/>
      <c r="H230" s="33"/>
      <c r="I230" s="33"/>
      <c r="J230" s="33"/>
      <c r="K230" s="33"/>
      <c r="L230" s="33"/>
      <c r="M230" s="33"/>
    </row>
    <row r="231" spans="1:13" s="35" customFormat="1" x14ac:dyDescent="0.3">
      <c r="A231" s="35" t="str">
        <f>A206</f>
        <v>Cashstream 3: Operating Costs - Low Capex Case</v>
      </c>
      <c r="B231" s="35" t="str">
        <f>B206</f>
        <v>US$ 000 Real</v>
      </c>
      <c r="C231" s="33">
        <f t="shared" si="71"/>
        <v>329066.96463022503</v>
      </c>
      <c r="D231" s="33">
        <f t="shared" ref="D231:M231" si="73">D206</f>
        <v>0</v>
      </c>
      <c r="E231" s="33">
        <f t="shared" si="73"/>
        <v>0</v>
      </c>
      <c r="F231" s="33">
        <f t="shared" si="73"/>
        <v>3990</v>
      </c>
      <c r="G231" s="33">
        <f t="shared" si="73"/>
        <v>40900.989838686175</v>
      </c>
      <c r="H231" s="33">
        <f t="shared" si="73"/>
        <v>53170.607273183145</v>
      </c>
      <c r="I231" s="33">
        <f t="shared" si="73"/>
        <v>53752.310097953843</v>
      </c>
      <c r="J231" s="33">
        <f t="shared" si="73"/>
        <v>51847.869004096377</v>
      </c>
      <c r="K231" s="33">
        <f t="shared" si="73"/>
        <v>51832.582593286555</v>
      </c>
      <c r="L231" s="33">
        <f t="shared" si="73"/>
        <v>33572.605823018981</v>
      </c>
      <c r="M231" s="33">
        <f t="shared" si="73"/>
        <v>40000</v>
      </c>
    </row>
    <row r="232" spans="1:13" s="35" customFormat="1" x14ac:dyDescent="0.3">
      <c r="A232" s="35" t="str">
        <f>A136</f>
        <v>Real terms tax deduction for capital expenditure</v>
      </c>
      <c r="B232" s="35" t="str">
        <f>B136</f>
        <v>US$ 000 Real</v>
      </c>
      <c r="C232" s="33">
        <f t="shared" si="71"/>
        <v>79009.566015706499</v>
      </c>
      <c r="D232" s="33">
        <f t="shared" ref="D232:M232" si="74">D136</f>
        <v>0</v>
      </c>
      <c r="E232" s="33">
        <f t="shared" si="74"/>
        <v>0</v>
      </c>
      <c r="F232" s="33">
        <f t="shared" si="74"/>
        <v>0</v>
      </c>
      <c r="G232" s="33">
        <f t="shared" si="74"/>
        <v>12034.557167519404</v>
      </c>
      <c r="H232" s="33">
        <f t="shared" si="74"/>
        <v>10461.439093764266</v>
      </c>
      <c r="I232" s="33">
        <f t="shared" si="74"/>
        <v>9679.7346277678425</v>
      </c>
      <c r="J232" s="33">
        <f t="shared" si="74"/>
        <v>8729.9519321822372</v>
      </c>
      <c r="K232" s="33">
        <f t="shared" si="74"/>
        <v>8031.5823030751744</v>
      </c>
      <c r="L232" s="33">
        <f t="shared" si="74"/>
        <v>30072.300891397575</v>
      </c>
      <c r="M232" s="33">
        <f t="shared" si="74"/>
        <v>0</v>
      </c>
    </row>
    <row r="233" spans="1:13" s="35" customFormat="1" x14ac:dyDescent="0.3">
      <c r="A233" s="35" t="str">
        <f>A219</f>
        <v>State Royalty</v>
      </c>
      <c r="B233" s="35" t="str">
        <f>B219</f>
        <v>US$ 000 Real</v>
      </c>
      <c r="C233" s="33">
        <f t="shared" si="71"/>
        <v>14263.408360128618</v>
      </c>
      <c r="D233" s="33">
        <f>D219</f>
        <v>0</v>
      </c>
      <c r="E233" s="33">
        <f t="shared" ref="E233:M233" si="75">E219</f>
        <v>0</v>
      </c>
      <c r="F233" s="33">
        <f t="shared" si="75"/>
        <v>0</v>
      </c>
      <c r="G233" s="33">
        <f t="shared" si="75"/>
        <v>1275.2244874448988</v>
      </c>
      <c r="H233" s="33">
        <f t="shared" si="75"/>
        <v>2723.4896099803823</v>
      </c>
      <c r="I233" s="33">
        <f t="shared" si="75"/>
        <v>3058.7918235136667</v>
      </c>
      <c r="J233" s="33">
        <f t="shared" si="75"/>
        <v>2822.486896004933</v>
      </c>
      <c r="K233" s="33">
        <f t="shared" si="75"/>
        <v>2771.3995100613606</v>
      </c>
      <c r="L233" s="33">
        <f t="shared" si="75"/>
        <v>1612.0160331233758</v>
      </c>
      <c r="M233" s="33">
        <f t="shared" si="75"/>
        <v>0</v>
      </c>
    </row>
    <row r="234" spans="1:13" s="35" customFormat="1" x14ac:dyDescent="0.3">
      <c r="A234" s="35" t="s">
        <v>32</v>
      </c>
      <c r="B234" s="17" t="s">
        <v>124</v>
      </c>
      <c r="C234" s="33">
        <f t="shared" si="71"/>
        <v>53107.006331560391</v>
      </c>
      <c r="D234" s="37">
        <f>D229-SUM(D231:D233)</f>
        <v>0</v>
      </c>
      <c r="E234" s="37">
        <f t="shared" ref="E234:M234" si="76">E229-SUM(E231:E233)</f>
        <v>0</v>
      </c>
      <c r="F234" s="37">
        <f t="shared" si="76"/>
        <v>-3990</v>
      </c>
      <c r="G234" s="37">
        <f t="shared" si="76"/>
        <v>-11703.288578820517</v>
      </c>
      <c r="H234" s="37">
        <f t="shared" si="76"/>
        <v>24427.451022418274</v>
      </c>
      <c r="I234" s="37">
        <f t="shared" si="76"/>
        <v>35468.89090122022</v>
      </c>
      <c r="J234" s="37">
        <f t="shared" si="76"/>
        <v>30682.588701214219</v>
      </c>
      <c r="K234" s="37">
        <f t="shared" si="76"/>
        <v>29744.419262288931</v>
      </c>
      <c r="L234" s="37">
        <f t="shared" si="76"/>
        <v>-11523.054976760744</v>
      </c>
      <c r="M234" s="37">
        <f t="shared" si="76"/>
        <v>-40000</v>
      </c>
    </row>
    <row r="235" spans="1:13" ht="9" customHeight="1" x14ac:dyDescent="0.3">
      <c r="A235" s="19"/>
      <c r="B235" s="18"/>
      <c r="D235" s="21"/>
      <c r="E235" s="21"/>
      <c r="F235" s="21"/>
      <c r="G235" s="21"/>
      <c r="H235" s="21"/>
      <c r="I235" s="21"/>
      <c r="J235" s="21"/>
      <c r="K235" s="21"/>
      <c r="L235" s="21"/>
      <c r="M235" s="21"/>
    </row>
    <row r="236" spans="1:13" s="173" customFormat="1" x14ac:dyDescent="0.3">
      <c r="A236" s="170" t="str">
        <f>'Results &amp; Common Inputs'!A37</f>
        <v>Company Income Tax  Rate</v>
      </c>
      <c r="B236" s="170" t="str">
        <f>'Results &amp; Common Inputs'!B37</f>
        <v>% of assessable income</v>
      </c>
      <c r="C236" s="170"/>
      <c r="D236" s="172">
        <f>'Results &amp; Common Inputs'!D37</f>
        <v>0.3</v>
      </c>
      <c r="E236" s="172">
        <f>'Results &amp; Common Inputs'!E37</f>
        <v>0.3</v>
      </c>
      <c r="F236" s="172">
        <f>'Results &amp; Common Inputs'!F37</f>
        <v>0.3</v>
      </c>
      <c r="G236" s="172">
        <f>'Results &amp; Common Inputs'!G37</f>
        <v>0.3</v>
      </c>
      <c r="H236" s="172">
        <f>'Results &amp; Common Inputs'!H37</f>
        <v>0.3</v>
      </c>
      <c r="I236" s="172">
        <f>'Results &amp; Common Inputs'!I37</f>
        <v>0.3</v>
      </c>
      <c r="J236" s="172">
        <f>'Results &amp; Common Inputs'!J37</f>
        <v>0.3</v>
      </c>
      <c r="K236" s="172">
        <f>'Results &amp; Common Inputs'!K37</f>
        <v>0.3</v>
      </c>
      <c r="L236" s="172">
        <f>'Results &amp; Common Inputs'!L37</f>
        <v>0.3</v>
      </c>
      <c r="M236" s="172">
        <f>'Results &amp; Common Inputs'!M37</f>
        <v>0.3</v>
      </c>
    </row>
    <row r="237" spans="1:13" s="35" customFormat="1" x14ac:dyDescent="0.3">
      <c r="A237" s="34" t="s">
        <v>68</v>
      </c>
      <c r="B237" s="17" t="s">
        <v>124</v>
      </c>
      <c r="C237" s="32">
        <f>SUM(D237:M237)</f>
        <v>15932.101899468118</v>
      </c>
      <c r="D237" s="32">
        <f>D234*D236</f>
        <v>0</v>
      </c>
      <c r="E237" s="32">
        <f t="shared" ref="E237:M237" si="77">E234*E236</f>
        <v>0</v>
      </c>
      <c r="F237" s="32">
        <f t="shared" si="77"/>
        <v>-1197</v>
      </c>
      <c r="G237" s="32">
        <f t="shared" si="77"/>
        <v>-3510.9865736461547</v>
      </c>
      <c r="H237" s="32">
        <f t="shared" si="77"/>
        <v>7328.2353067254817</v>
      </c>
      <c r="I237" s="32">
        <f t="shared" si="77"/>
        <v>10640.667270366066</v>
      </c>
      <c r="J237" s="32">
        <f t="shared" si="77"/>
        <v>9204.7766103642662</v>
      </c>
      <c r="K237" s="32">
        <f t="shared" si="77"/>
        <v>8923.3257786866798</v>
      </c>
      <c r="L237" s="32">
        <f t="shared" si="77"/>
        <v>-3456.9164930282232</v>
      </c>
      <c r="M237" s="32">
        <f t="shared" si="77"/>
        <v>-12000</v>
      </c>
    </row>
    <row r="238" spans="1:13" s="35" customFormat="1" ht="7.75" customHeight="1" x14ac:dyDescent="0.3">
      <c r="C238" s="33"/>
      <c r="D238" s="33"/>
      <c r="E238" s="33"/>
      <c r="F238" s="33"/>
      <c r="G238" s="33"/>
      <c r="H238" s="33"/>
      <c r="I238" s="33"/>
      <c r="J238" s="33"/>
      <c r="K238" s="33"/>
      <c r="L238" s="33"/>
      <c r="M238" s="33"/>
    </row>
    <row r="239" spans="1:13" x14ac:dyDescent="0.3">
      <c r="A239" s="92" t="s">
        <v>231</v>
      </c>
      <c r="B239" s="18"/>
      <c r="D239" s="21"/>
      <c r="E239" s="21"/>
      <c r="F239" s="21"/>
      <c r="G239" s="21"/>
      <c r="H239" s="21"/>
      <c r="I239" s="21"/>
      <c r="J239" s="21"/>
      <c r="K239" s="21"/>
      <c r="L239" s="21"/>
      <c r="M239" s="21"/>
    </row>
    <row r="240" spans="1:13" s="35" customFormat="1" ht="14.5" x14ac:dyDescent="0.35">
      <c r="A240" s="35" t="s">
        <v>69</v>
      </c>
      <c r="B240" s="17" t="s">
        <v>124</v>
      </c>
      <c r="C240" s="33"/>
      <c r="D240" s="174">
        <v>0</v>
      </c>
      <c r="E240" s="33">
        <f>D242</f>
        <v>0</v>
      </c>
      <c r="F240" s="33">
        <f t="shared" ref="F240:M240" si="78">E242</f>
        <v>0</v>
      </c>
      <c r="G240" s="33">
        <f t="shared" si="78"/>
        <v>-1197</v>
      </c>
      <c r="H240" s="33">
        <f t="shared" si="78"/>
        <v>-4707.9865736461543</v>
      </c>
      <c r="I240" s="33">
        <f t="shared" si="78"/>
        <v>0</v>
      </c>
      <c r="J240" s="33">
        <f t="shared" si="78"/>
        <v>0</v>
      </c>
      <c r="K240" s="33">
        <f t="shared" si="78"/>
        <v>0</v>
      </c>
      <c r="L240" s="33">
        <f t="shared" si="78"/>
        <v>0</v>
      </c>
      <c r="M240" s="33">
        <f t="shared" si="78"/>
        <v>-3456.9164930282232</v>
      </c>
    </row>
    <row r="241" spans="1:13" s="35" customFormat="1" x14ac:dyDescent="0.3">
      <c r="A241" s="34" t="s">
        <v>33</v>
      </c>
      <c r="B241" s="17" t="s">
        <v>124</v>
      </c>
      <c r="C241" s="32">
        <f>SUM(D241:M241)</f>
        <v>31389.018392496342</v>
      </c>
      <c r="D241" s="79">
        <f t="shared" ref="D241:M241" si="79">IF(D237+D240&lt;0,0,D237+D240)</f>
        <v>0</v>
      </c>
      <c r="E241" s="79">
        <f>IF(E237+E240&lt;0,0,E237+E240)</f>
        <v>0</v>
      </c>
      <c r="F241" s="79">
        <f t="shared" si="79"/>
        <v>0</v>
      </c>
      <c r="G241" s="79">
        <f t="shared" si="79"/>
        <v>0</v>
      </c>
      <c r="H241" s="79">
        <f t="shared" si="79"/>
        <v>2620.2487330793274</v>
      </c>
      <c r="I241" s="79">
        <f t="shared" si="79"/>
        <v>10640.667270366066</v>
      </c>
      <c r="J241" s="79">
        <f t="shared" si="79"/>
        <v>9204.7766103642662</v>
      </c>
      <c r="K241" s="79">
        <f t="shared" si="79"/>
        <v>8923.3257786866798</v>
      </c>
      <c r="L241" s="79">
        <f t="shared" si="79"/>
        <v>0</v>
      </c>
      <c r="M241" s="79">
        <f t="shared" si="79"/>
        <v>0</v>
      </c>
    </row>
    <row r="242" spans="1:13" s="35" customFormat="1" x14ac:dyDescent="0.3">
      <c r="A242" s="35" t="s">
        <v>232</v>
      </c>
      <c r="B242" s="17" t="s">
        <v>124</v>
      </c>
      <c r="C242" s="33"/>
      <c r="D242" s="33">
        <f t="shared" ref="D242:M242" si="80">D237+D240-D241</f>
        <v>0</v>
      </c>
      <c r="E242" s="33">
        <f t="shared" si="80"/>
        <v>0</v>
      </c>
      <c r="F242" s="33">
        <f t="shared" si="80"/>
        <v>-1197</v>
      </c>
      <c r="G242" s="33">
        <f t="shared" si="80"/>
        <v>-4707.9865736461543</v>
      </c>
      <c r="H242" s="33">
        <f t="shared" si="80"/>
        <v>0</v>
      </c>
      <c r="I242" s="33">
        <f t="shared" si="80"/>
        <v>0</v>
      </c>
      <c r="J242" s="33">
        <f t="shared" si="80"/>
        <v>0</v>
      </c>
      <c r="K242" s="33">
        <f t="shared" si="80"/>
        <v>0</v>
      </c>
      <c r="L242" s="33">
        <f t="shared" si="80"/>
        <v>-3456.9164930282232</v>
      </c>
      <c r="M242" s="33">
        <f t="shared" si="80"/>
        <v>-15456.916493028224</v>
      </c>
    </row>
    <row r="243" spans="1:13" s="58" customFormat="1" x14ac:dyDescent="0.3">
      <c r="A243" s="58" t="s">
        <v>233</v>
      </c>
      <c r="C243" s="59"/>
      <c r="D243" s="59"/>
      <c r="E243" s="59"/>
      <c r="F243" s="59"/>
      <c r="G243" s="59"/>
      <c r="H243" s="59"/>
      <c r="I243" s="59"/>
      <c r="J243" s="59"/>
      <c r="K243" s="59"/>
      <c r="L243" s="59"/>
      <c r="M243" s="59"/>
    </row>
    <row r="244" spans="1:13" ht="15.5" x14ac:dyDescent="0.35">
      <c r="A244" s="107" t="s">
        <v>144</v>
      </c>
      <c r="B244" s="17" t="s">
        <v>124</v>
      </c>
      <c r="C244" s="155">
        <f>SUM(D244:M244)</f>
        <v>45652.42675262496</v>
      </c>
      <c r="D244" s="108">
        <f t="shared" ref="D244:F244" si="81">D219+D241</f>
        <v>0</v>
      </c>
      <c r="E244" s="108">
        <f t="shared" si="81"/>
        <v>0</v>
      </c>
      <c r="F244" s="108">
        <f t="shared" si="81"/>
        <v>0</v>
      </c>
      <c r="G244" s="108">
        <f>G219+G241</f>
        <v>1275.2244874448988</v>
      </c>
      <c r="H244" s="108">
        <f t="shared" ref="H244:M244" si="82">H219+H241</f>
        <v>5343.7383430597092</v>
      </c>
      <c r="I244" s="108">
        <f t="shared" si="82"/>
        <v>13699.459093879734</v>
      </c>
      <c r="J244" s="108">
        <f t="shared" si="82"/>
        <v>12027.2635063692</v>
      </c>
      <c r="K244" s="108">
        <f t="shared" si="82"/>
        <v>11694.725288748041</v>
      </c>
      <c r="L244" s="108">
        <f t="shared" si="82"/>
        <v>1612.0160331233758</v>
      </c>
      <c r="M244" s="108">
        <f t="shared" si="82"/>
        <v>0</v>
      </c>
    </row>
    <row r="245" spans="1:13" x14ac:dyDescent="0.3">
      <c r="A245" s="18"/>
      <c r="B245" s="18"/>
      <c r="D245" s="21"/>
      <c r="E245" s="21"/>
      <c r="F245" s="21"/>
      <c r="G245" s="21"/>
      <c r="H245" s="21"/>
      <c r="I245" s="21"/>
      <c r="J245" s="21"/>
      <c r="K245" s="21"/>
      <c r="L245" s="21"/>
      <c r="M245" s="21"/>
    </row>
    <row r="246" spans="1:13" s="183" customFormat="1" ht="33.5" customHeight="1" x14ac:dyDescent="0.35">
      <c r="A246" s="180" t="str">
        <f>'Results &amp; Common Inputs'!A$28</f>
        <v>Life of Business</v>
      </c>
      <c r="B246" s="180" t="str">
        <f>'Results &amp; Common Inputs'!B$28</f>
        <v>units</v>
      </c>
      <c r="C246" s="181" t="str">
        <f>'Results &amp; Common Inputs'!C$28</f>
        <v>Total</v>
      </c>
      <c r="D246" s="182">
        <f>'Results &amp; Common Inputs'!D$28</f>
        <v>2026</v>
      </c>
      <c r="E246" s="182">
        <f>'Results &amp; Common Inputs'!E$28</f>
        <v>2027</v>
      </c>
      <c r="F246" s="182">
        <f>'Results &amp; Common Inputs'!F$28</f>
        <v>2028</v>
      </c>
      <c r="G246" s="182">
        <f>'Results &amp; Common Inputs'!G$28</f>
        <v>2029</v>
      </c>
      <c r="H246" s="182">
        <f>'Results &amp; Common Inputs'!H$28</f>
        <v>2030</v>
      </c>
      <c r="I246" s="182">
        <f>'Results &amp; Common Inputs'!I$28</f>
        <v>2031</v>
      </c>
      <c r="J246" s="182">
        <f>'Results &amp; Common Inputs'!J$28</f>
        <v>2032</v>
      </c>
      <c r="K246" s="182">
        <f>'Results &amp; Common Inputs'!K$28</f>
        <v>2033</v>
      </c>
      <c r="L246" s="182">
        <f>'Results &amp; Common Inputs'!L$28</f>
        <v>2034</v>
      </c>
      <c r="M246" s="182">
        <f>'Results &amp; Common Inputs'!M$28</f>
        <v>2035</v>
      </c>
    </row>
    <row r="247" spans="1:13" s="176" customFormat="1" ht="43.75" customHeight="1" x14ac:dyDescent="0.35">
      <c r="A247" s="175" t="s">
        <v>251</v>
      </c>
      <c r="C247" s="177"/>
      <c r="D247" s="177"/>
      <c r="E247" s="177"/>
      <c r="F247" s="177"/>
      <c r="G247" s="177"/>
      <c r="H247" s="177"/>
      <c r="I247" s="177"/>
      <c r="J247" s="177"/>
      <c r="K247" s="177"/>
      <c r="L247" s="177"/>
      <c r="M247" s="177"/>
    </row>
    <row r="248" spans="1:13" x14ac:dyDescent="0.3">
      <c r="A248" s="31" t="s">
        <v>40</v>
      </c>
      <c r="B248" s="18"/>
      <c r="D248" s="21"/>
      <c r="E248" s="21"/>
      <c r="F248" s="21"/>
      <c r="G248" s="21"/>
      <c r="H248" s="21"/>
      <c r="I248" s="21"/>
      <c r="J248" s="21"/>
      <c r="K248" s="21"/>
      <c r="L248" s="21"/>
      <c r="M248" s="21"/>
    </row>
    <row r="249" spans="1:13" s="35" customFormat="1" x14ac:dyDescent="0.3">
      <c r="A249" s="35" t="str">
        <f>A$88</f>
        <v>Cashstream 1: Revenue - Low Capex Case</v>
      </c>
      <c r="B249" s="35" t="str">
        <f>B$88</f>
        <v>US$ 000 Real</v>
      </c>
      <c r="C249" s="33">
        <f t="shared" ref="C249" si="83">SUM(D249:M249)</f>
        <v>475446.94533762056</v>
      </c>
      <c r="D249" s="33">
        <f t="shared" ref="D249:M249" si="84">D$88</f>
        <v>0</v>
      </c>
      <c r="E249" s="33">
        <f t="shared" si="84"/>
        <v>0</v>
      </c>
      <c r="F249" s="33">
        <f t="shared" si="84"/>
        <v>0</v>
      </c>
      <c r="G249" s="33">
        <f t="shared" si="84"/>
        <v>42507.482914829961</v>
      </c>
      <c r="H249" s="33">
        <f t="shared" si="84"/>
        <v>90782.986999346074</v>
      </c>
      <c r="I249" s="33">
        <f t="shared" si="84"/>
        <v>101959.72745045557</v>
      </c>
      <c r="J249" s="33">
        <f t="shared" si="84"/>
        <v>94082.896533497769</v>
      </c>
      <c r="K249" s="33">
        <f t="shared" si="84"/>
        <v>92379.983668712026</v>
      </c>
      <c r="L249" s="33">
        <f t="shared" si="84"/>
        <v>53733.867770779194</v>
      </c>
      <c r="M249" s="33">
        <f t="shared" si="84"/>
        <v>0</v>
      </c>
    </row>
    <row r="250" spans="1:13" s="39" customFormat="1" x14ac:dyDescent="0.3">
      <c r="A250" s="39" t="str">
        <f>A113</f>
        <v>Cashstream 2: Capital Costs - Low Capex Case</v>
      </c>
      <c r="B250" s="39" t="str">
        <f>B113</f>
        <v>US$ 000 Real</v>
      </c>
      <c r="C250" s="50">
        <f>SUM(D250:M250)</f>
        <v>83200</v>
      </c>
      <c r="D250" s="50">
        <f t="shared" ref="D250:M250" si="85">D113</f>
        <v>2000</v>
      </c>
      <c r="E250" s="50">
        <f t="shared" si="85"/>
        <v>21000</v>
      </c>
      <c r="F250" s="50">
        <f t="shared" si="85"/>
        <v>20000</v>
      </c>
      <c r="G250" s="50">
        <f t="shared" si="85"/>
        <v>6450</v>
      </c>
      <c r="H250" s="50">
        <f t="shared" si="85"/>
        <v>6450</v>
      </c>
      <c r="I250" s="50">
        <f t="shared" si="85"/>
        <v>7950</v>
      </c>
      <c r="J250" s="50">
        <f t="shared" si="85"/>
        <v>6450</v>
      </c>
      <c r="K250" s="50">
        <f t="shared" si="85"/>
        <v>6450</v>
      </c>
      <c r="L250" s="50">
        <f t="shared" si="85"/>
        <v>6450</v>
      </c>
      <c r="M250" s="50">
        <f t="shared" si="85"/>
        <v>0</v>
      </c>
    </row>
    <row r="251" spans="1:13" s="39" customFormat="1" x14ac:dyDescent="0.3">
      <c r="A251" s="39" t="str">
        <f>A206</f>
        <v>Cashstream 3: Operating Costs - Low Capex Case</v>
      </c>
      <c r="B251" s="39" t="str">
        <f>B206</f>
        <v>US$ 000 Real</v>
      </c>
      <c r="C251" s="50">
        <f>SUM(D251:M251)</f>
        <v>329066.96463022503</v>
      </c>
      <c r="D251" s="50">
        <f>D206</f>
        <v>0</v>
      </c>
      <c r="E251" s="50">
        <f t="shared" ref="E251:F251" si="86">E206</f>
        <v>0</v>
      </c>
      <c r="F251" s="50">
        <f t="shared" si="86"/>
        <v>3990</v>
      </c>
      <c r="G251" s="50">
        <f t="shared" ref="G251:M251" si="87">G206</f>
        <v>40900.989838686175</v>
      </c>
      <c r="H251" s="50">
        <f t="shared" si="87"/>
        <v>53170.607273183145</v>
      </c>
      <c r="I251" s="50">
        <f t="shared" si="87"/>
        <v>53752.310097953843</v>
      </c>
      <c r="J251" s="50">
        <f t="shared" si="87"/>
        <v>51847.869004096377</v>
      </c>
      <c r="K251" s="50">
        <f t="shared" si="87"/>
        <v>51832.582593286555</v>
      </c>
      <c r="L251" s="50">
        <f t="shared" si="87"/>
        <v>33572.605823018981</v>
      </c>
      <c r="M251" s="50">
        <f t="shared" si="87"/>
        <v>40000</v>
      </c>
    </row>
    <row r="252" spans="1:13" s="39" customFormat="1" x14ac:dyDescent="0.3">
      <c r="A252" s="39" t="str">
        <f>A244</f>
        <v>Cashstream 4: Taxes - Low Capex Case</v>
      </c>
      <c r="B252" s="39" t="str">
        <f>B244</f>
        <v>US$ 000 Real</v>
      </c>
      <c r="C252" s="50">
        <f>SUM(D252:M252)</f>
        <v>45652.42675262496</v>
      </c>
      <c r="D252" s="50">
        <f t="shared" ref="D252:M252" si="88">D244</f>
        <v>0</v>
      </c>
      <c r="E252" s="50">
        <f t="shared" si="88"/>
        <v>0</v>
      </c>
      <c r="F252" s="50">
        <f t="shared" si="88"/>
        <v>0</v>
      </c>
      <c r="G252" s="50">
        <f t="shared" si="88"/>
        <v>1275.2244874448988</v>
      </c>
      <c r="H252" s="50">
        <f t="shared" si="88"/>
        <v>5343.7383430597092</v>
      </c>
      <c r="I252" s="50">
        <f t="shared" si="88"/>
        <v>13699.459093879734</v>
      </c>
      <c r="J252" s="50">
        <f t="shared" si="88"/>
        <v>12027.2635063692</v>
      </c>
      <c r="K252" s="50">
        <f t="shared" si="88"/>
        <v>11694.725288748041</v>
      </c>
      <c r="L252" s="50">
        <f t="shared" si="88"/>
        <v>1612.0160331233758</v>
      </c>
      <c r="M252" s="50">
        <f t="shared" si="88"/>
        <v>0</v>
      </c>
    </row>
    <row r="253" spans="1:13" ht="16" thickBot="1" x14ac:dyDescent="0.4">
      <c r="A253" s="107" t="s">
        <v>254</v>
      </c>
      <c r="B253" s="17" t="s">
        <v>124</v>
      </c>
      <c r="C253" s="155">
        <f>SUM(D253:M253)</f>
        <v>17527.553954770563</v>
      </c>
      <c r="D253" s="108">
        <f t="shared" ref="D253:M253" si="89">D249-SUM(D250:D252)</f>
        <v>-2000</v>
      </c>
      <c r="E253" s="108">
        <f t="shared" si="89"/>
        <v>-21000</v>
      </c>
      <c r="F253" s="108">
        <f t="shared" si="89"/>
        <v>-23990</v>
      </c>
      <c r="G253" s="108">
        <f t="shared" si="89"/>
        <v>-6118.7314113011089</v>
      </c>
      <c r="H253" s="108">
        <f>H249-SUM(H250:H252)</f>
        <v>25818.641383103219</v>
      </c>
      <c r="I253" s="108">
        <f t="shared" si="89"/>
        <v>26557.958258621991</v>
      </c>
      <c r="J253" s="108">
        <f t="shared" si="89"/>
        <v>23757.764023032199</v>
      </c>
      <c r="K253" s="108">
        <f t="shared" si="89"/>
        <v>22402.675786677428</v>
      </c>
      <c r="L253" s="108">
        <f t="shared" si="89"/>
        <v>12099.245914636835</v>
      </c>
      <c r="M253" s="108">
        <f t="shared" si="89"/>
        <v>-40000</v>
      </c>
    </row>
    <row r="254" spans="1:13" s="39" customFormat="1" ht="13.5" thickBot="1" x14ac:dyDescent="0.35">
      <c r="A254" s="39" t="s">
        <v>255</v>
      </c>
      <c r="B254" s="39" t="s">
        <v>129</v>
      </c>
      <c r="C254" s="50"/>
      <c r="D254" s="53">
        <f>D253</f>
        <v>-2000</v>
      </c>
      <c r="E254" s="50">
        <f>D254+E253</f>
        <v>-23000</v>
      </c>
      <c r="F254" s="50">
        <f t="shared" ref="F254:M254" si="90">E254+F253</f>
        <v>-46990</v>
      </c>
      <c r="G254" s="50">
        <f t="shared" si="90"/>
        <v>-53108.731411301109</v>
      </c>
      <c r="H254" s="50">
        <f t="shared" si="90"/>
        <v>-27290.09002819789</v>
      </c>
      <c r="I254" s="50">
        <f t="shared" si="90"/>
        <v>-732.13176957589894</v>
      </c>
      <c r="J254" s="50">
        <f t="shared" si="90"/>
        <v>23025.632253456301</v>
      </c>
      <c r="K254" s="50">
        <f t="shared" si="90"/>
        <v>45428.308040133728</v>
      </c>
      <c r="L254" s="50">
        <f t="shared" si="90"/>
        <v>57527.553954770563</v>
      </c>
      <c r="M254" s="50">
        <f t="shared" si="90"/>
        <v>17527.553954770563</v>
      </c>
    </row>
    <row r="255" spans="1:13" s="61" customFormat="1" ht="38" customHeight="1" x14ac:dyDescent="0.3">
      <c r="A255" s="31" t="s">
        <v>234</v>
      </c>
      <c r="C255" s="62"/>
      <c r="D255" s="62"/>
      <c r="E255" s="62"/>
      <c r="F255" s="62"/>
      <c r="G255" s="62"/>
      <c r="H255" s="62"/>
      <c r="I255" s="62"/>
      <c r="J255" s="62"/>
      <c r="K255" s="62"/>
      <c r="L255" s="62"/>
      <c r="M255" s="62"/>
    </row>
    <row r="256" spans="1:13" ht="18.5" x14ac:dyDescent="0.45">
      <c r="A256" s="178" t="s">
        <v>145</v>
      </c>
      <c r="C256" s="179">
        <f>IRR(D253:M253,5%)</f>
        <v>0.11891858360584595</v>
      </c>
      <c r="D256" s="21"/>
      <c r="E256" s="21"/>
      <c r="F256" s="21"/>
      <c r="G256" s="21"/>
      <c r="H256" s="21"/>
      <c r="I256" s="21"/>
      <c r="J256" s="21"/>
      <c r="K256" s="21"/>
      <c r="L256" s="21"/>
      <c r="M256" s="21"/>
    </row>
    <row r="257" spans="1:13" s="61" customFormat="1" ht="38" customHeight="1" x14ac:dyDescent="0.3">
      <c r="A257" s="31" t="s">
        <v>238</v>
      </c>
      <c r="C257" s="62"/>
      <c r="D257" s="62"/>
      <c r="E257" s="62"/>
      <c r="F257" s="62"/>
      <c r="G257" s="62"/>
      <c r="H257" s="62"/>
      <c r="I257" s="62"/>
      <c r="J257" s="62"/>
      <c r="K257" s="62"/>
      <c r="L257" s="62"/>
      <c r="M257" s="62"/>
    </row>
    <row r="258" spans="1:13" x14ac:dyDescent="0.3">
      <c r="A258" s="58" t="s">
        <v>235</v>
      </c>
      <c r="B258" s="18"/>
      <c r="D258" s="21"/>
      <c r="E258" s="21"/>
      <c r="F258" s="21"/>
      <c r="G258" s="21"/>
      <c r="H258" s="21"/>
      <c r="I258" s="21"/>
      <c r="J258" s="21"/>
      <c r="K258" s="21"/>
      <c r="L258" s="21"/>
      <c r="M258" s="21"/>
    </row>
    <row r="259" spans="1:13" x14ac:dyDescent="0.3">
      <c r="A259" s="58" t="s">
        <v>236</v>
      </c>
      <c r="B259" s="18"/>
      <c r="D259" s="21"/>
      <c r="E259" s="21"/>
      <c r="F259" s="21"/>
      <c r="G259" s="21"/>
      <c r="H259" s="21"/>
      <c r="I259" s="21"/>
      <c r="J259" s="21"/>
      <c r="K259" s="21"/>
      <c r="L259" s="21"/>
      <c r="M259" s="21"/>
    </row>
    <row r="260" spans="1:13" x14ac:dyDescent="0.3">
      <c r="A260" s="92" t="s">
        <v>189</v>
      </c>
      <c r="B260" s="18"/>
      <c r="D260" s="21"/>
      <c r="E260" s="21"/>
      <c r="F260" s="21"/>
      <c r="G260" s="21"/>
      <c r="H260" s="21"/>
      <c r="I260" s="21"/>
      <c r="J260" s="21"/>
      <c r="K260" s="21"/>
      <c r="L260" s="21"/>
      <c r="M260" s="21"/>
    </row>
    <row r="261" spans="1:13" s="173" customFormat="1" ht="13.5" thickBot="1" x14ac:dyDescent="0.35">
      <c r="A261" s="170" t="str">
        <f>'Results &amp; Common Inputs'!A45</f>
        <v>Discount Rate - gold industry adjusted for the Company</v>
      </c>
      <c r="B261" s="170" t="str">
        <f>'Results &amp; Common Inputs'!B45</f>
        <v>% Real</v>
      </c>
      <c r="C261" s="170"/>
      <c r="D261" s="172">
        <f>'Results &amp; Common Inputs'!D45</f>
        <v>0.08</v>
      </c>
      <c r="E261" s="172">
        <f>'Results &amp; Common Inputs'!E45</f>
        <v>0.08</v>
      </c>
      <c r="F261" s="172">
        <f>'Results &amp; Common Inputs'!F45</f>
        <v>0.08</v>
      </c>
      <c r="G261" s="172">
        <f>'Results &amp; Common Inputs'!G45</f>
        <v>0.08</v>
      </c>
      <c r="H261" s="172">
        <f>'Results &amp; Common Inputs'!H45</f>
        <v>0.08</v>
      </c>
      <c r="I261" s="172">
        <f>'Results &amp; Common Inputs'!I45</f>
        <v>0.08</v>
      </c>
      <c r="J261" s="172">
        <f>'Results &amp; Common Inputs'!J45</f>
        <v>0.08</v>
      </c>
      <c r="K261" s="172">
        <f>'Results &amp; Common Inputs'!K45</f>
        <v>0.08</v>
      </c>
      <c r="L261" s="172">
        <f>'Results &amp; Common Inputs'!L45</f>
        <v>0.08</v>
      </c>
      <c r="M261" s="172">
        <f>'Results &amp; Common Inputs'!M45</f>
        <v>0.08</v>
      </c>
    </row>
    <row r="262" spans="1:13" ht="13.5" thickBot="1" x14ac:dyDescent="0.35">
      <c r="A262" s="17" t="s">
        <v>34</v>
      </c>
      <c r="C262" s="11"/>
      <c r="D262" s="54">
        <f>1/(1+D261)^0.5</f>
        <v>0.96225044864937614</v>
      </c>
      <c r="E262" s="55">
        <f>D262/(1+E261)</f>
        <v>0.89097263763831114</v>
      </c>
      <c r="F262" s="55">
        <f>E262/(1+F261)</f>
        <v>0.82497466447991763</v>
      </c>
      <c r="G262" s="55">
        <f t="shared" ref="G262:M262" si="91">F262/(1+G261)</f>
        <v>0.76386543007399776</v>
      </c>
      <c r="H262" s="55">
        <f t="shared" si="91"/>
        <v>0.70728280562407198</v>
      </c>
      <c r="I262" s="55">
        <f t="shared" si="91"/>
        <v>0.65489148668895547</v>
      </c>
      <c r="J262" s="55">
        <f t="shared" si="91"/>
        <v>0.60638100619347723</v>
      </c>
      <c r="K262" s="55">
        <f t="shared" si="91"/>
        <v>0.56146389462359003</v>
      </c>
      <c r="L262" s="55">
        <f t="shared" si="91"/>
        <v>0.51987397650332412</v>
      </c>
      <c r="M262" s="55">
        <f t="shared" si="91"/>
        <v>0.48136479305863339</v>
      </c>
    </row>
    <row r="263" spans="1:13" s="39" customFormat="1" ht="13.5" thickBot="1" x14ac:dyDescent="0.35">
      <c r="A263" s="38" t="s">
        <v>146</v>
      </c>
      <c r="B263" s="39" t="s">
        <v>129</v>
      </c>
      <c r="C263" s="40">
        <f>SUM(D263:M263)</f>
        <v>4573.7478070373654</v>
      </c>
      <c r="D263" s="40">
        <f t="shared" ref="D263:M263" si="92">D253*D262</f>
        <v>-1924.5008972987523</v>
      </c>
      <c r="E263" s="40">
        <f t="shared" si="92"/>
        <v>-18710.425390404533</v>
      </c>
      <c r="F263" s="40">
        <f t="shared" si="92"/>
        <v>-19791.142200873222</v>
      </c>
      <c r="G263" s="40">
        <f t="shared" si="92"/>
        <v>-4673.8874010008012</v>
      </c>
      <c r="H263" s="40">
        <f t="shared" si="92"/>
        <v>18261.081114843015</v>
      </c>
      <c r="I263" s="40">
        <f t="shared" si="92"/>
        <v>17392.580767412179</v>
      </c>
      <c r="J263" s="40">
        <f t="shared" si="92"/>
        <v>14406.256853193459</v>
      </c>
      <c r="K263" s="40">
        <f t="shared" si="92"/>
        <v>12578.293597177508</v>
      </c>
      <c r="L263" s="40">
        <f t="shared" si="92"/>
        <v>6290.0830863338497</v>
      </c>
      <c r="M263" s="40">
        <f t="shared" si="92"/>
        <v>-19254.591722345336</v>
      </c>
    </row>
    <row r="264" spans="1:13" s="39" customFormat="1" ht="13.5" thickBot="1" x14ac:dyDescent="0.35">
      <c r="A264" s="39" t="s">
        <v>147</v>
      </c>
      <c r="B264" s="39" t="s">
        <v>129</v>
      </c>
      <c r="C264" s="50"/>
      <c r="D264" s="53">
        <f>D263</f>
        <v>-1924.5008972987523</v>
      </c>
      <c r="E264" s="50">
        <f>D264+E263</f>
        <v>-20634.926287703285</v>
      </c>
      <c r="F264" s="50">
        <f t="shared" ref="F264:M264" si="93">E264+F263</f>
        <v>-40426.068488576508</v>
      </c>
      <c r="G264" s="50">
        <f t="shared" si="93"/>
        <v>-45099.955889577308</v>
      </c>
      <c r="H264" s="50">
        <f t="shared" si="93"/>
        <v>-26838.874774734293</v>
      </c>
      <c r="I264" s="50">
        <f t="shared" si="93"/>
        <v>-9446.2940073221143</v>
      </c>
      <c r="J264" s="50">
        <f t="shared" si="93"/>
        <v>4959.9628458713451</v>
      </c>
      <c r="K264" s="50">
        <f t="shared" si="93"/>
        <v>17538.256443048853</v>
      </c>
      <c r="L264" s="50">
        <f t="shared" si="93"/>
        <v>23828.339529382702</v>
      </c>
      <c r="M264" s="50">
        <f t="shared" si="93"/>
        <v>4573.7478070373654</v>
      </c>
    </row>
    <row r="265" spans="1:13" s="39" customFormat="1" ht="15.5" x14ac:dyDescent="0.35">
      <c r="A265" s="52" t="s">
        <v>148</v>
      </c>
      <c r="B265" s="39" t="s">
        <v>129</v>
      </c>
      <c r="C265" s="51">
        <f>SUM(D263:M263)</f>
        <v>4573.7478070373654</v>
      </c>
      <c r="D265" s="40"/>
      <c r="E265" s="40"/>
      <c r="F265" s="40"/>
      <c r="G265" s="40"/>
      <c r="H265" s="40"/>
      <c r="I265" s="40"/>
      <c r="J265" s="40"/>
      <c r="K265" s="40"/>
      <c r="L265" s="40"/>
      <c r="M265" s="40"/>
    </row>
    <row r="266" spans="1:13" s="39" customFormat="1" ht="15.5" x14ac:dyDescent="0.35">
      <c r="A266" s="58" t="s">
        <v>237</v>
      </c>
      <c r="C266" s="51"/>
      <c r="D266" s="40"/>
      <c r="E266" s="40"/>
      <c r="F266" s="40"/>
      <c r="G266" s="40"/>
      <c r="H266" s="40"/>
      <c r="I266" s="40"/>
      <c r="J266" s="40"/>
      <c r="K266" s="40"/>
      <c r="L266" s="40"/>
      <c r="M266" s="40"/>
    </row>
    <row r="267" spans="1:13" s="39" customFormat="1" ht="15.5" x14ac:dyDescent="0.35">
      <c r="A267" s="58" t="s">
        <v>239</v>
      </c>
      <c r="C267" s="51"/>
      <c r="D267" s="40"/>
      <c r="E267" s="40"/>
      <c r="F267" s="40"/>
      <c r="G267" s="40"/>
      <c r="H267" s="40"/>
      <c r="I267" s="40"/>
      <c r="J267" s="40"/>
      <c r="K267" s="40"/>
      <c r="L267" s="40"/>
      <c r="M267" s="40"/>
    </row>
    <row r="268" spans="1:13" s="61" customFormat="1" ht="28.75" customHeight="1" x14ac:dyDescent="0.35">
      <c r="A268" s="28" t="s">
        <v>113</v>
      </c>
      <c r="C268" s="62"/>
      <c r="D268" s="62"/>
      <c r="E268" s="62"/>
      <c r="F268" s="62"/>
      <c r="G268" s="62"/>
      <c r="H268" s="62"/>
      <c r="I268" s="62"/>
      <c r="J268" s="62"/>
      <c r="K268" s="62"/>
      <c r="L268" s="62"/>
      <c r="M268" s="62"/>
    </row>
    <row r="269" spans="1:13" x14ac:dyDescent="0.3">
      <c r="A269" s="58" t="s">
        <v>136</v>
      </c>
      <c r="B269" s="18"/>
      <c r="D269" s="21"/>
      <c r="E269" s="21"/>
      <c r="F269" s="21"/>
      <c r="G269" s="21"/>
      <c r="H269" s="21"/>
      <c r="I269" s="21"/>
      <c r="J269" s="21"/>
      <c r="K269" s="21"/>
      <c r="L269" s="21"/>
      <c r="M269" s="21"/>
    </row>
    <row r="270" spans="1:13" s="48" customFormat="1" ht="15.5" x14ac:dyDescent="0.35">
      <c r="A270" s="188" t="s">
        <v>112</v>
      </c>
      <c r="B270" s="188"/>
      <c r="C270" s="189">
        <f>C265/C102</f>
        <v>0.10636622807063641</v>
      </c>
      <c r="D270" s="49"/>
      <c r="E270" s="49"/>
      <c r="F270" s="49"/>
      <c r="G270" s="49"/>
      <c r="H270" s="49"/>
      <c r="I270" s="49"/>
      <c r="J270" s="49"/>
      <c r="K270" s="49"/>
      <c r="L270" s="49"/>
      <c r="M270" s="49"/>
    </row>
    <row r="271" spans="1:13" s="48" customFormat="1" ht="15.5" x14ac:dyDescent="0.35">
      <c r="A271" s="188" t="s">
        <v>114</v>
      </c>
      <c r="B271" s="48" t="s">
        <v>115</v>
      </c>
      <c r="C271" s="51">
        <f>SUM(D271:M271)</f>
        <v>6</v>
      </c>
      <c r="D271" s="49">
        <f t="shared" ref="D271:M271" si="94">IF(D264&gt;0,0,1)</f>
        <v>1</v>
      </c>
      <c r="E271" s="49">
        <f t="shared" si="94"/>
        <v>1</v>
      </c>
      <c r="F271" s="49">
        <f t="shared" si="94"/>
        <v>1</v>
      </c>
      <c r="G271" s="49">
        <f t="shared" si="94"/>
        <v>1</v>
      </c>
      <c r="H271" s="49">
        <f t="shared" si="94"/>
        <v>1</v>
      </c>
      <c r="I271" s="49">
        <f t="shared" si="94"/>
        <v>1</v>
      </c>
      <c r="J271" s="49">
        <f t="shared" si="94"/>
        <v>0</v>
      </c>
      <c r="K271" s="49">
        <f t="shared" si="94"/>
        <v>0</v>
      </c>
      <c r="L271" s="49">
        <f t="shared" si="94"/>
        <v>0</v>
      </c>
      <c r="M271" s="49">
        <f t="shared" si="94"/>
        <v>0</v>
      </c>
    </row>
    <row r="273" spans="1:13" s="183" customFormat="1" ht="33.5" customHeight="1" x14ac:dyDescent="0.35">
      <c r="A273" s="180" t="str">
        <f>'Results &amp; Common Inputs'!A$28</f>
        <v>Life of Business</v>
      </c>
      <c r="B273" s="180" t="str">
        <f>'Results &amp; Common Inputs'!B$28</f>
        <v>units</v>
      </c>
      <c r="C273" s="181" t="str">
        <f>'Results &amp; Common Inputs'!C$28</f>
        <v>Total</v>
      </c>
      <c r="D273" s="182">
        <f>'Results &amp; Common Inputs'!D$28</f>
        <v>2026</v>
      </c>
      <c r="E273" s="182">
        <f>'Results &amp; Common Inputs'!E$28</f>
        <v>2027</v>
      </c>
      <c r="F273" s="182">
        <f>'Results &amp; Common Inputs'!F$28</f>
        <v>2028</v>
      </c>
      <c r="G273" s="182">
        <f>'Results &amp; Common Inputs'!G$28</f>
        <v>2029</v>
      </c>
      <c r="H273" s="182">
        <f>'Results &amp; Common Inputs'!H$28</f>
        <v>2030</v>
      </c>
      <c r="I273" s="182">
        <f>'Results &amp; Common Inputs'!I$28</f>
        <v>2031</v>
      </c>
      <c r="J273" s="182">
        <f>'Results &amp; Common Inputs'!J$28</f>
        <v>2032</v>
      </c>
      <c r="K273" s="182">
        <f>'Results &amp; Common Inputs'!K$28</f>
        <v>2033</v>
      </c>
      <c r="L273" s="182">
        <f>'Results &amp; Common Inputs'!L$28</f>
        <v>2034</v>
      </c>
      <c r="M273" s="182">
        <f>'Results &amp; Common Inputs'!M$28</f>
        <v>2035</v>
      </c>
    </row>
    <row r="274" spans="1:13" ht="114" customHeight="1" x14ac:dyDescent="0.3"/>
    <row r="275" spans="1:13" ht="31.75" customHeight="1" x14ac:dyDescent="0.3">
      <c r="A275" s="28" t="s">
        <v>137</v>
      </c>
    </row>
    <row r="276" spans="1:13" s="18" customFormat="1" x14ac:dyDescent="0.3">
      <c r="A276" s="81" t="str">
        <f>'Results &amp; Common Inputs'!A$28</f>
        <v>Life of Business</v>
      </c>
      <c r="B276" s="81" t="str">
        <f>'Results &amp; Common Inputs'!B$28</f>
        <v>units</v>
      </c>
      <c r="C276" s="82" t="str">
        <f>'Results &amp; Common Inputs'!C$28</f>
        <v>Total</v>
      </c>
      <c r="D276" s="20">
        <f>'Results &amp; Common Inputs'!D$28</f>
        <v>2026</v>
      </c>
      <c r="E276" s="20">
        <f>'Results &amp; Common Inputs'!E$28</f>
        <v>2027</v>
      </c>
      <c r="F276" s="20">
        <f>'Results &amp; Common Inputs'!F$28</f>
        <v>2028</v>
      </c>
      <c r="G276" s="20">
        <f>'Results &amp; Common Inputs'!G$28</f>
        <v>2029</v>
      </c>
      <c r="H276" s="20">
        <f>'Results &amp; Common Inputs'!H$28</f>
        <v>2030</v>
      </c>
      <c r="I276" s="20">
        <f>'Results &amp; Common Inputs'!I$28</f>
        <v>2031</v>
      </c>
      <c r="J276" s="20">
        <f>'Results &amp; Common Inputs'!J$28</f>
        <v>2032</v>
      </c>
      <c r="K276" s="20">
        <f>'Results &amp; Common Inputs'!K$28</f>
        <v>2033</v>
      </c>
      <c r="L276" s="20">
        <f>'Results &amp; Common Inputs'!L$28</f>
        <v>2034</v>
      </c>
      <c r="M276" s="20">
        <f>'Results &amp; Common Inputs'!M$28</f>
        <v>2035</v>
      </c>
    </row>
    <row r="277" spans="1:13" x14ac:dyDescent="0.3">
      <c r="A277" s="35" t="e">
        <f>#REF!</f>
        <v>#REF!</v>
      </c>
      <c r="B277" s="35" t="str">
        <f>B88</f>
        <v>US$ 000 Real</v>
      </c>
      <c r="D277" s="41">
        <f>D88</f>
        <v>0</v>
      </c>
      <c r="E277" s="41">
        <f>E88</f>
        <v>0</v>
      </c>
      <c r="F277" s="41">
        <f>F88</f>
        <v>0</v>
      </c>
      <c r="G277" s="41" t="e">
        <f>#REF!</f>
        <v>#REF!</v>
      </c>
      <c r="H277" s="41">
        <f t="shared" ref="H277:M277" si="95">H88</f>
        <v>90782.986999346074</v>
      </c>
      <c r="I277" s="41">
        <f t="shared" si="95"/>
        <v>101959.72745045557</v>
      </c>
      <c r="J277" s="41">
        <f t="shared" si="95"/>
        <v>94082.896533497769</v>
      </c>
      <c r="K277" s="41">
        <f t="shared" si="95"/>
        <v>92379.983668712026</v>
      </c>
      <c r="L277" s="41">
        <f t="shared" si="95"/>
        <v>53733.867770779194</v>
      </c>
      <c r="M277" s="41">
        <f t="shared" si="95"/>
        <v>0</v>
      </c>
    </row>
    <row r="278" spans="1:13" x14ac:dyDescent="0.3">
      <c r="A278" s="35" t="str">
        <f>A113</f>
        <v>Cashstream 2: Capital Costs - Low Capex Case</v>
      </c>
      <c r="B278" s="35" t="str">
        <f>B113</f>
        <v>US$ 000 Real</v>
      </c>
      <c r="D278" s="41">
        <f t="shared" ref="D278:M278" si="96">-D113</f>
        <v>-2000</v>
      </c>
      <c r="E278" s="41">
        <f t="shared" si="96"/>
        <v>-21000</v>
      </c>
      <c r="F278" s="41">
        <f t="shared" si="96"/>
        <v>-20000</v>
      </c>
      <c r="G278" s="41">
        <f t="shared" si="96"/>
        <v>-6450</v>
      </c>
      <c r="H278" s="41">
        <f t="shared" si="96"/>
        <v>-6450</v>
      </c>
      <c r="I278" s="41">
        <f t="shared" si="96"/>
        <v>-7950</v>
      </c>
      <c r="J278" s="41">
        <f t="shared" si="96"/>
        <v>-6450</v>
      </c>
      <c r="K278" s="41">
        <f t="shared" si="96"/>
        <v>-6450</v>
      </c>
      <c r="L278" s="41">
        <f t="shared" si="96"/>
        <v>-6450</v>
      </c>
      <c r="M278" s="41">
        <f t="shared" si="96"/>
        <v>0</v>
      </c>
    </row>
    <row r="279" spans="1:13" x14ac:dyDescent="0.3">
      <c r="A279" s="35" t="str">
        <f>A206</f>
        <v>Cashstream 3: Operating Costs - Low Capex Case</v>
      </c>
      <c r="B279" s="35" t="str">
        <f>B206</f>
        <v>US$ 000 Real</v>
      </c>
      <c r="C279" s="41" t="e">
        <f>SUM(D279:M279)</f>
        <v>#REF!</v>
      </c>
      <c r="D279" s="41">
        <f>-D206</f>
        <v>0</v>
      </c>
      <c r="E279" s="41">
        <f>-E206</f>
        <v>0</v>
      </c>
      <c r="F279" s="41" t="e">
        <f>-#REF!</f>
        <v>#REF!</v>
      </c>
      <c r="G279" s="41">
        <f t="shared" ref="G279:M279" si="97">-G206</f>
        <v>-40900.989838686175</v>
      </c>
      <c r="H279" s="41">
        <f t="shared" si="97"/>
        <v>-53170.607273183145</v>
      </c>
      <c r="I279" s="41">
        <f t="shared" si="97"/>
        <v>-53752.310097953843</v>
      </c>
      <c r="J279" s="41">
        <f t="shared" si="97"/>
        <v>-51847.869004096377</v>
      </c>
      <c r="K279" s="41">
        <f t="shared" si="97"/>
        <v>-51832.582593286555</v>
      </c>
      <c r="L279" s="41">
        <f t="shared" si="97"/>
        <v>-33572.605823018981</v>
      </c>
      <c r="M279" s="41">
        <f t="shared" si="97"/>
        <v>-40000</v>
      </c>
    </row>
    <row r="280" spans="1:13" x14ac:dyDescent="0.3">
      <c r="A280" s="35" t="str">
        <f>A244</f>
        <v>Cashstream 4: Taxes - Low Capex Case</v>
      </c>
      <c r="B280" s="35" t="str">
        <f>B244</f>
        <v>US$ 000 Real</v>
      </c>
      <c r="D280" s="41">
        <f>-D244</f>
        <v>0</v>
      </c>
      <c r="E280" s="41">
        <f>-E244</f>
        <v>0</v>
      </c>
      <c r="F280" s="41">
        <f>-F244</f>
        <v>0</v>
      </c>
      <c r="G280" s="41" t="e">
        <f>-#REF!</f>
        <v>#REF!</v>
      </c>
      <c r="H280" s="41">
        <f t="shared" ref="H280:M280" si="98">-H244</f>
        <v>-5343.7383430597092</v>
      </c>
      <c r="I280" s="41">
        <f t="shared" si="98"/>
        <v>-13699.459093879734</v>
      </c>
      <c r="J280" s="41">
        <f t="shared" si="98"/>
        <v>-12027.2635063692</v>
      </c>
      <c r="K280" s="41">
        <f t="shared" si="98"/>
        <v>-11694.725288748041</v>
      </c>
      <c r="L280" s="41">
        <f t="shared" si="98"/>
        <v>-1612.0160331233758</v>
      </c>
      <c r="M280" s="41">
        <f t="shared" si="98"/>
        <v>0</v>
      </c>
    </row>
    <row r="281" spans="1:13" x14ac:dyDescent="0.3">
      <c r="A281" s="17" t="s">
        <v>38</v>
      </c>
      <c r="B281" s="17" t="s">
        <v>38</v>
      </c>
      <c r="D281" s="41">
        <f>IF(SUM(D277:D280)&gt;0,SUM(D277:D280),0)</f>
        <v>0</v>
      </c>
      <c r="E281" s="41">
        <f t="shared" ref="E281:M281" si="99">IF(SUM(E277:E280)&gt;0,SUM(E277:E280),0)</f>
        <v>0</v>
      </c>
      <c r="F281" s="41" t="e">
        <f t="shared" si="99"/>
        <v>#REF!</v>
      </c>
      <c r="G281" s="41" t="e">
        <f t="shared" si="99"/>
        <v>#REF!</v>
      </c>
      <c r="H281" s="41">
        <f t="shared" si="99"/>
        <v>25818.641383103219</v>
      </c>
      <c r="I281" s="41">
        <f t="shared" si="99"/>
        <v>26557.958258621991</v>
      </c>
      <c r="J281" s="41">
        <f t="shared" si="99"/>
        <v>23757.764023032192</v>
      </c>
      <c r="K281" s="41">
        <f t="shared" si="99"/>
        <v>22402.675786677428</v>
      </c>
      <c r="L281" s="41">
        <f t="shared" si="99"/>
        <v>12099.245914636836</v>
      </c>
      <c r="M281" s="41">
        <f t="shared" si="99"/>
        <v>0</v>
      </c>
    </row>
    <row r="282" spans="1:13" x14ac:dyDescent="0.3">
      <c r="A282" s="17" t="s">
        <v>39</v>
      </c>
      <c r="B282" s="17" t="s">
        <v>39</v>
      </c>
      <c r="D282" s="41">
        <f>IF(SUM(D277:D280)&lt;0,-SUM(D277:D280),0)</f>
        <v>2000</v>
      </c>
      <c r="E282" s="41">
        <f t="shared" ref="E282:M282" si="100">IF(SUM(E277:E280)&lt;0,-SUM(E277:E280),0)</f>
        <v>21000</v>
      </c>
      <c r="F282" s="41" t="e">
        <f t="shared" si="100"/>
        <v>#REF!</v>
      </c>
      <c r="G282" s="41" t="e">
        <f t="shared" si="100"/>
        <v>#REF!</v>
      </c>
      <c r="H282" s="41">
        <f t="shared" si="100"/>
        <v>0</v>
      </c>
      <c r="I282" s="41">
        <f t="shared" si="100"/>
        <v>0</v>
      </c>
      <c r="J282" s="41">
        <f t="shared" si="100"/>
        <v>0</v>
      </c>
      <c r="K282" s="41">
        <f t="shared" si="100"/>
        <v>0</v>
      </c>
      <c r="L282" s="41">
        <f t="shared" si="100"/>
        <v>0</v>
      </c>
      <c r="M282" s="41">
        <f t="shared" si="100"/>
        <v>40000</v>
      </c>
    </row>
    <row r="283" spans="1:13" x14ac:dyDescent="0.3">
      <c r="A283" s="17" t="s">
        <v>41</v>
      </c>
      <c r="B283" s="17" t="s">
        <v>41</v>
      </c>
      <c r="D283" s="41">
        <f>D281-D282</f>
        <v>-2000</v>
      </c>
      <c r="E283" s="41">
        <f t="shared" ref="E283:M283" si="101">E281-E282</f>
        <v>-21000</v>
      </c>
      <c r="F283" s="41" t="e">
        <f t="shared" si="101"/>
        <v>#REF!</v>
      </c>
      <c r="G283" s="41" t="e">
        <f t="shared" si="101"/>
        <v>#REF!</v>
      </c>
      <c r="H283" s="41">
        <f t="shared" si="101"/>
        <v>25818.641383103219</v>
      </c>
      <c r="I283" s="41">
        <f t="shared" si="101"/>
        <v>26557.958258621991</v>
      </c>
      <c r="J283" s="41">
        <f t="shared" si="101"/>
        <v>23757.764023032192</v>
      </c>
      <c r="K283" s="41">
        <f t="shared" si="101"/>
        <v>22402.675786677428</v>
      </c>
      <c r="L283" s="41">
        <f t="shared" si="101"/>
        <v>12099.245914636836</v>
      </c>
      <c r="M283" s="41">
        <f t="shared" si="101"/>
        <v>-40000</v>
      </c>
    </row>
    <row r="284" spans="1:13" x14ac:dyDescent="0.3">
      <c r="A284" s="42"/>
      <c r="B284" s="42"/>
      <c r="C284" s="43"/>
      <c r="D284" s="44"/>
      <c r="E284" s="44"/>
      <c r="F284" s="44"/>
      <c r="G284" s="43"/>
      <c r="H284" s="43"/>
      <c r="I284" s="43"/>
      <c r="J284" s="43"/>
      <c r="K284" s="43"/>
      <c r="L284" s="43"/>
      <c r="M284" s="43"/>
    </row>
    <row r="345" spans="1:28" x14ac:dyDescent="0.3">
      <c r="A345" s="31" t="s">
        <v>16</v>
      </c>
    </row>
    <row r="346" spans="1:28" x14ac:dyDescent="0.3">
      <c r="A346" s="17" t="s">
        <v>17</v>
      </c>
    </row>
    <row r="347" spans="1:28" x14ac:dyDescent="0.3">
      <c r="A347" s="45" t="s">
        <v>135</v>
      </c>
      <c r="B347" s="46" t="s">
        <v>45</v>
      </c>
      <c r="C347" s="47">
        <v>0.36</v>
      </c>
      <c r="D347" s="47">
        <v>0.36</v>
      </c>
      <c r="E347" s="47">
        <v>0.36</v>
      </c>
      <c r="F347" s="47">
        <v>0.36</v>
      </c>
      <c r="G347" s="47">
        <v>0.36</v>
      </c>
      <c r="H347" s="47">
        <v>0.36</v>
      </c>
      <c r="I347" s="47">
        <v>0.36</v>
      </c>
      <c r="J347" s="47">
        <v>0.36</v>
      </c>
      <c r="K347" s="47">
        <v>0.36</v>
      </c>
      <c r="L347" s="47">
        <v>0.36</v>
      </c>
      <c r="M347" s="47">
        <v>0.36</v>
      </c>
      <c r="N347" s="47">
        <v>0.36</v>
      </c>
      <c r="O347" s="47">
        <v>0.36</v>
      </c>
      <c r="P347" s="47">
        <v>0.36</v>
      </c>
      <c r="Q347" s="47">
        <v>0.36</v>
      </c>
      <c r="R347" s="47">
        <v>0.36</v>
      </c>
      <c r="S347" s="47">
        <v>0.36</v>
      </c>
      <c r="T347" s="47">
        <v>0.36</v>
      </c>
      <c r="U347" s="47">
        <v>0.36</v>
      </c>
      <c r="V347" s="47">
        <v>0.36</v>
      </c>
      <c r="W347" s="47">
        <v>0.36</v>
      </c>
      <c r="X347" s="47">
        <v>0.36</v>
      </c>
      <c r="Y347" s="47">
        <v>0.36</v>
      </c>
      <c r="Z347" s="47">
        <v>0.36</v>
      </c>
      <c r="AA347" s="47">
        <v>0.36</v>
      </c>
      <c r="AB347" s="47">
        <v>0.36</v>
      </c>
    </row>
  </sheetData>
  <pageMargins left="0.70866141732283472" right="0.70866141732283472" top="0.74803149606299213" bottom="0.74803149606299213" header="0.31496062992125984" footer="0.31496062992125984"/>
  <pageSetup paperSize="9" scale="2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4916-C9DB-4418-8D55-E94CF438CA42}">
  <sheetPr>
    <pageSetUpPr fitToPage="1"/>
  </sheetPr>
  <dimension ref="A1:AB347"/>
  <sheetViews>
    <sheetView zoomScaleNormal="100" workbookViewId="0">
      <selection activeCell="E13" sqref="E13"/>
    </sheetView>
  </sheetViews>
  <sheetFormatPr defaultColWidth="8.90625" defaultRowHeight="13" x14ac:dyDescent="0.3"/>
  <cols>
    <col min="1" max="1" width="32.08984375" style="17" customWidth="1"/>
    <col min="2" max="2" width="15.90625" style="17" customWidth="1"/>
    <col min="3" max="3" width="16.81640625" style="21" customWidth="1"/>
    <col min="4" max="13" width="12.81640625" style="11" customWidth="1"/>
    <col min="14" max="16384" width="8.90625" style="17"/>
  </cols>
  <sheetData>
    <row r="1" spans="1:13" s="26" customFormat="1" ht="30.75" customHeight="1" x14ac:dyDescent="0.35">
      <c r="A1" s="183" t="str">
        <f>Introduction!A1</f>
        <v>Worked Example - Comparing Three Alternatives - www.economicevaluation.com.au</v>
      </c>
      <c r="B1" s="207"/>
      <c r="C1" s="207"/>
      <c r="D1" s="207"/>
      <c r="E1" s="207"/>
    </row>
    <row r="2" spans="1:13" s="27" customFormat="1" ht="30.75" customHeight="1" x14ac:dyDescent="0.35">
      <c r="A2" s="24" t="s">
        <v>110</v>
      </c>
    </row>
    <row r="3" spans="1:13" s="27" customFormat="1" ht="32" customHeight="1" x14ac:dyDescent="0.35">
      <c r="A3" s="80" t="s">
        <v>248</v>
      </c>
      <c r="B3" s="25"/>
      <c r="C3" s="7"/>
      <c r="D3" s="26"/>
      <c r="E3" s="26"/>
      <c r="F3" s="26"/>
      <c r="G3" s="26"/>
      <c r="H3" s="26"/>
      <c r="I3" s="26"/>
      <c r="J3" s="26"/>
      <c r="K3" s="26"/>
      <c r="L3" s="26"/>
      <c r="M3" s="26"/>
    </row>
    <row r="4" spans="1:13" ht="18" customHeight="1" x14ac:dyDescent="0.35">
      <c r="A4" s="1" t="s">
        <v>240</v>
      </c>
      <c r="B4" s="77"/>
      <c r="C4" s="78"/>
    </row>
    <row r="5" spans="1:13" s="27" customFormat="1" ht="15.5" x14ac:dyDescent="0.35">
      <c r="A5" s="152" t="str">
        <f>A265</f>
        <v>NPV - High Grading Case</v>
      </c>
      <c r="B5" s="191" t="str">
        <f>B265</f>
        <v>US$ 000</v>
      </c>
      <c r="C5" s="153">
        <f>C265</f>
        <v>-1198.5702479897009</v>
      </c>
      <c r="D5" s="26"/>
      <c r="E5" s="26"/>
      <c r="F5" s="26"/>
      <c r="G5" s="26"/>
      <c r="H5" s="26"/>
      <c r="I5" s="26"/>
      <c r="J5" s="26"/>
      <c r="K5" s="26"/>
      <c r="L5" s="26"/>
      <c r="M5" s="26"/>
    </row>
    <row r="6" spans="1:13" s="27" customFormat="1" ht="15.5" x14ac:dyDescent="0.35">
      <c r="A6" s="152" t="str">
        <f>A256</f>
        <v>IRR - High Grading Case</v>
      </c>
      <c r="B6" s="192"/>
      <c r="C6" s="154">
        <f>C256</f>
        <v>7.0130963387297518E-2</v>
      </c>
      <c r="D6" s="26"/>
      <c r="E6" s="26"/>
      <c r="F6" s="26"/>
      <c r="G6" s="26"/>
      <c r="H6" s="26"/>
      <c r="I6" s="26"/>
      <c r="J6" s="26"/>
      <c r="K6" s="26"/>
      <c r="L6" s="26"/>
      <c r="M6" s="26"/>
    </row>
    <row r="7" spans="1:13" ht="14.5" x14ac:dyDescent="0.35">
      <c r="A7" s="74" t="str">
        <f>A270</f>
        <v>NPV / Initial Capex</v>
      </c>
      <c r="B7" s="193"/>
      <c r="C7" s="76">
        <f>C270</f>
        <v>-2.0665004275684497E-2</v>
      </c>
      <c r="D7" s="21"/>
      <c r="E7" s="21"/>
      <c r="F7" s="21"/>
      <c r="G7" s="21"/>
      <c r="H7" s="21"/>
      <c r="I7" s="21"/>
      <c r="J7" s="21"/>
      <c r="K7" s="21"/>
      <c r="L7" s="21"/>
      <c r="M7" s="21"/>
    </row>
    <row r="8" spans="1:13" ht="17.25" customHeight="1" x14ac:dyDescent="0.35">
      <c r="A8" s="74" t="str">
        <f>A271</f>
        <v xml:space="preserve">Payback in Real terms </v>
      </c>
      <c r="B8" s="194" t="str">
        <f>B271</f>
        <v>Years from Day 1</v>
      </c>
      <c r="C8" s="78">
        <f>C271</f>
        <v>6</v>
      </c>
    </row>
    <row r="9" spans="1:13" ht="18" customHeight="1" x14ac:dyDescent="0.35">
      <c r="A9" s="1" t="s">
        <v>241</v>
      </c>
      <c r="B9" s="194"/>
      <c r="C9" s="78"/>
    </row>
    <row r="10" spans="1:13" s="35" customFormat="1" ht="13" customHeight="1" x14ac:dyDescent="0.3">
      <c r="A10" s="35" t="str">
        <f>A68</f>
        <v>Ore production</v>
      </c>
      <c r="B10" s="195" t="str">
        <f>B68</f>
        <v>000 dry tonnes</v>
      </c>
      <c r="C10" s="184">
        <f t="shared" ref="C10" si="0">C68</f>
        <v>1700</v>
      </c>
      <c r="D10" s="33"/>
      <c r="E10" s="33"/>
      <c r="F10" s="33"/>
      <c r="G10" s="33"/>
      <c r="H10" s="33"/>
      <c r="I10" s="33"/>
      <c r="J10" s="33"/>
      <c r="K10" s="33"/>
      <c r="L10" s="33"/>
      <c r="M10" s="33"/>
    </row>
    <row r="11" spans="1:13" s="35" customFormat="1" ht="13" customHeight="1" x14ac:dyDescent="0.3">
      <c r="A11" s="35" t="str">
        <f>A72</f>
        <v>Gold produced</v>
      </c>
      <c r="B11" s="195" t="str">
        <f>B72</f>
        <v>000 ounces</v>
      </c>
      <c r="C11" s="184">
        <f t="shared" ref="C11" si="1">C72</f>
        <v>162.07073954983923</v>
      </c>
      <c r="D11" s="33"/>
      <c r="E11" s="33"/>
      <c r="F11" s="33"/>
      <c r="G11" s="33"/>
      <c r="H11" s="33"/>
      <c r="I11" s="33"/>
      <c r="J11" s="33"/>
      <c r="K11" s="33"/>
      <c r="L11" s="33"/>
      <c r="M11" s="33"/>
    </row>
    <row r="12" spans="1:13" ht="18" customHeight="1" x14ac:dyDescent="0.35">
      <c r="A12" s="1" t="s">
        <v>243</v>
      </c>
      <c r="B12" s="194"/>
      <c r="C12" s="78"/>
    </row>
    <row r="13" spans="1:13" s="185" customFormat="1" ht="14" customHeight="1" x14ac:dyDescent="0.3">
      <c r="A13" s="185" t="str">
        <f>A102</f>
        <v>Initial capex</v>
      </c>
      <c r="B13" s="196" t="str">
        <f>B102</f>
        <v>US$ 000 Real</v>
      </c>
      <c r="C13" s="186">
        <f t="shared" ref="C13" si="2">C102</f>
        <v>58000</v>
      </c>
      <c r="D13" s="187"/>
      <c r="E13" s="187"/>
      <c r="F13" s="187"/>
      <c r="G13" s="187"/>
      <c r="H13" s="187"/>
      <c r="I13" s="187"/>
      <c r="J13" s="187"/>
      <c r="K13" s="187"/>
      <c r="L13" s="187"/>
      <c r="M13" s="187"/>
    </row>
    <row r="14" spans="1:13" s="185" customFormat="1" ht="15" customHeight="1" x14ac:dyDescent="0.3">
      <c r="A14" s="185" t="str">
        <f>A210</f>
        <v>opex before Government royalty &amp; taxes per ounce</v>
      </c>
      <c r="B14" s="196" t="str">
        <f>B210</f>
        <v>US$/ounce Real</v>
      </c>
      <c r="C14" s="187">
        <f t="shared" ref="C14" si="3">C210</f>
        <v>1217.3450519800015</v>
      </c>
      <c r="D14" s="187"/>
      <c r="E14" s="187"/>
      <c r="F14" s="187"/>
      <c r="G14" s="187"/>
      <c r="H14" s="187"/>
      <c r="I14" s="187"/>
      <c r="J14" s="187"/>
      <c r="K14" s="187"/>
      <c r="L14" s="187"/>
      <c r="M14" s="187"/>
    </row>
    <row r="15" spans="1:13" s="185" customFormat="1" ht="18.5" customHeight="1" x14ac:dyDescent="0.35">
      <c r="A15" s="1" t="s">
        <v>242</v>
      </c>
      <c r="B15" s="196"/>
      <c r="C15" s="186"/>
      <c r="D15" s="187"/>
      <c r="E15" s="187"/>
      <c r="F15" s="187"/>
      <c r="G15" s="187"/>
      <c r="H15" s="187"/>
      <c r="I15" s="187"/>
      <c r="J15" s="187"/>
      <c r="K15" s="187"/>
      <c r="L15" s="187"/>
      <c r="M15" s="187"/>
    </row>
    <row r="16" spans="1:13" s="185" customFormat="1" ht="15.5" customHeight="1" x14ac:dyDescent="0.3">
      <c r="A16" s="185" t="str">
        <f>A88</f>
        <v>Cashstream 1: Revenue - High Grading Case</v>
      </c>
      <c r="B16" s="196" t="str">
        <f>B88</f>
        <v>US$ 000 Real</v>
      </c>
      <c r="C16" s="186">
        <f t="shared" ref="C16" si="4">C88</f>
        <v>324141.47909967846</v>
      </c>
      <c r="D16" s="187"/>
      <c r="E16" s="187"/>
      <c r="F16" s="187"/>
      <c r="G16" s="187"/>
      <c r="H16" s="187"/>
      <c r="I16" s="187"/>
      <c r="J16" s="187"/>
      <c r="K16" s="187"/>
      <c r="L16" s="187"/>
      <c r="M16" s="187"/>
    </row>
    <row r="17" spans="1:19" s="185" customFormat="1" ht="15.5" customHeight="1" x14ac:dyDescent="0.3">
      <c r="A17" s="190" t="str">
        <f>A113</f>
        <v>Cashstream 2: Capital Costs - High Grading Case</v>
      </c>
      <c r="B17" s="197" t="str">
        <f>B113</f>
        <v>US$ 000 Real</v>
      </c>
      <c r="C17" s="198">
        <f t="shared" ref="C17" si="5">C113</f>
        <v>82700</v>
      </c>
      <c r="D17" s="187"/>
      <c r="E17" s="187"/>
      <c r="F17" s="187"/>
      <c r="G17" s="187"/>
      <c r="H17" s="187"/>
      <c r="I17" s="187"/>
      <c r="J17" s="187"/>
      <c r="K17" s="187"/>
      <c r="L17" s="187"/>
      <c r="M17" s="187"/>
    </row>
    <row r="18" spans="1:19" s="185" customFormat="1" ht="15.5" customHeight="1" x14ac:dyDescent="0.3">
      <c r="A18" s="190" t="str">
        <f>A206</f>
        <v>Cashstream 3: Operating Costs - High Grading Case</v>
      </c>
      <c r="B18" s="197" t="str">
        <f>B206</f>
        <v>US$ 000 Real</v>
      </c>
      <c r="C18" s="198">
        <f t="shared" ref="C18" si="6">C206</f>
        <v>197296.01286173632</v>
      </c>
      <c r="D18" s="187"/>
      <c r="E18" s="187"/>
      <c r="F18" s="187"/>
      <c r="G18" s="187"/>
      <c r="H18" s="187"/>
      <c r="I18" s="187"/>
      <c r="J18" s="187"/>
      <c r="K18" s="187"/>
      <c r="L18" s="187"/>
      <c r="M18" s="187"/>
    </row>
    <row r="19" spans="1:19" s="185" customFormat="1" ht="15.5" customHeight="1" x14ac:dyDescent="0.3">
      <c r="A19" s="185" t="str">
        <f>A244</f>
        <v>Cashstream 4: Taxes - High Grading Case</v>
      </c>
      <c r="B19" s="196" t="str">
        <f>B244</f>
        <v>US$ 000 Real</v>
      </c>
      <c r="C19" s="186">
        <f t="shared" ref="C19" si="7">C244</f>
        <v>33305.66402875632</v>
      </c>
      <c r="D19" s="187"/>
      <c r="E19" s="187"/>
      <c r="F19" s="187"/>
      <c r="G19" s="187"/>
      <c r="H19" s="187"/>
      <c r="I19" s="187"/>
      <c r="J19" s="187"/>
      <c r="K19" s="187"/>
      <c r="L19" s="187"/>
      <c r="M19" s="187"/>
    </row>
    <row r="20" spans="1:19" s="185" customFormat="1" ht="17" customHeight="1" x14ac:dyDescent="0.35">
      <c r="A20" s="201" t="str">
        <f>A253</f>
        <v>Cash Generation - High Grading Case</v>
      </c>
      <c r="B20" s="196" t="str">
        <f>B253</f>
        <v>US$ 000 Real</v>
      </c>
      <c r="C20" s="199">
        <f t="shared" ref="C20" si="8">C253</f>
        <v>10839.8022091858</v>
      </c>
      <c r="D20" s="200"/>
      <c r="E20" s="200"/>
      <c r="F20" s="200"/>
      <c r="G20" s="200"/>
      <c r="H20" s="200"/>
      <c r="I20" s="200"/>
      <c r="J20" s="200"/>
      <c r="K20" s="200"/>
      <c r="L20" s="200"/>
      <c r="M20" s="200"/>
    </row>
    <row r="21" spans="1:19" ht="17" customHeight="1" x14ac:dyDescent="0.3">
      <c r="A21" s="18"/>
      <c r="B21" s="18"/>
      <c r="C21" s="29"/>
    </row>
    <row r="22" spans="1:19" ht="17.25" customHeight="1" x14ac:dyDescent="0.3">
      <c r="A22" s="18"/>
      <c r="B22" s="18"/>
      <c r="C22" s="29"/>
    </row>
    <row r="23" spans="1:19" ht="17.25" customHeight="1" x14ac:dyDescent="0.3">
      <c r="A23" s="18"/>
      <c r="B23" s="18"/>
      <c r="C23" s="29"/>
    </row>
    <row r="24" spans="1:19" ht="17.25" customHeight="1" x14ac:dyDescent="0.3">
      <c r="A24" s="18"/>
      <c r="B24" s="18"/>
      <c r="C24" s="29"/>
    </row>
    <row r="25" spans="1:19" ht="17.25" customHeight="1" x14ac:dyDescent="0.3">
      <c r="A25" s="18"/>
      <c r="B25" s="18"/>
      <c r="C25" s="29"/>
    </row>
    <row r="26" spans="1:19" ht="17.25" customHeight="1" x14ac:dyDescent="0.3">
      <c r="A26" s="18"/>
      <c r="B26" s="18"/>
      <c r="C26" s="29"/>
    </row>
    <row r="27" spans="1:19" ht="17.25" customHeight="1" x14ac:dyDescent="0.3">
      <c r="A27" s="18"/>
      <c r="B27" s="18"/>
      <c r="C27" s="29"/>
    </row>
    <row r="28" spans="1:19" ht="17.25" customHeight="1" x14ac:dyDescent="0.3">
      <c r="A28" s="18"/>
      <c r="B28" s="18"/>
      <c r="C28" s="29"/>
    </row>
    <row r="29" spans="1:19" ht="17.25" customHeight="1" x14ac:dyDescent="0.3">
      <c r="A29" s="18"/>
      <c r="B29" s="18"/>
      <c r="C29" s="29"/>
    </row>
    <row r="30" spans="1:19" ht="17.25" customHeight="1" x14ac:dyDescent="0.3">
      <c r="A30" s="18"/>
      <c r="B30" s="18"/>
      <c r="C30" s="29"/>
      <c r="P30" s="11"/>
      <c r="R30" s="11"/>
      <c r="S30" s="30"/>
    </row>
    <row r="31" spans="1:19" ht="17.25" customHeight="1" x14ac:dyDescent="0.3">
      <c r="A31" s="18"/>
      <c r="B31" s="18"/>
      <c r="C31" s="29"/>
      <c r="P31" s="11"/>
      <c r="R31" s="11"/>
      <c r="S31" s="30"/>
    </row>
    <row r="32" spans="1:19" ht="17.25" customHeight="1" x14ac:dyDescent="0.3">
      <c r="A32" s="18"/>
      <c r="B32" s="18"/>
      <c r="C32" s="29"/>
      <c r="P32" s="11"/>
      <c r="R32" s="11"/>
      <c r="S32" s="30"/>
    </row>
    <row r="33" spans="1:8" ht="17.25" customHeight="1" x14ac:dyDescent="0.3">
      <c r="A33" s="18"/>
      <c r="B33" s="18"/>
      <c r="C33" s="29"/>
    </row>
    <row r="34" spans="1:8" ht="17.25" customHeight="1" x14ac:dyDescent="0.3">
      <c r="A34" s="18"/>
      <c r="B34" s="18"/>
      <c r="C34" s="29"/>
    </row>
    <row r="35" spans="1:8" ht="17.25" customHeight="1" x14ac:dyDescent="0.3">
      <c r="A35" s="18"/>
      <c r="B35" s="18"/>
      <c r="C35" s="29"/>
    </row>
    <row r="36" spans="1:8" ht="17.25" customHeight="1" x14ac:dyDescent="0.3">
      <c r="A36" s="18"/>
      <c r="B36" s="18"/>
      <c r="C36" s="29"/>
    </row>
    <row r="37" spans="1:8" ht="17.25" customHeight="1" x14ac:dyDescent="0.3">
      <c r="A37" s="18"/>
      <c r="B37" s="18"/>
      <c r="C37" s="29"/>
    </row>
    <row r="38" spans="1:8" ht="17.25" customHeight="1" x14ac:dyDescent="0.3">
      <c r="A38" s="18"/>
      <c r="B38" s="18"/>
      <c r="C38" s="29"/>
    </row>
    <row r="39" spans="1:8" ht="17.25" customHeight="1" x14ac:dyDescent="0.3">
      <c r="A39" s="18"/>
      <c r="B39" s="18"/>
      <c r="C39" s="29"/>
    </row>
    <row r="40" spans="1:8" ht="17.25" customHeight="1" x14ac:dyDescent="0.3">
      <c r="A40" s="18"/>
      <c r="B40" s="18"/>
      <c r="C40" s="29"/>
    </row>
    <row r="41" spans="1:8" ht="17.25" customHeight="1" x14ac:dyDescent="0.3">
      <c r="A41" s="18"/>
      <c r="B41" s="18"/>
      <c r="C41" s="29"/>
      <c r="H41" s="30"/>
    </row>
    <row r="42" spans="1:8" ht="17.25" customHeight="1" x14ac:dyDescent="0.3">
      <c r="A42" s="18"/>
      <c r="B42" s="18"/>
      <c r="C42" s="29"/>
    </row>
    <row r="43" spans="1:8" ht="17.25" customHeight="1" x14ac:dyDescent="0.3">
      <c r="A43" s="18"/>
      <c r="B43" s="18"/>
      <c r="C43" s="29"/>
    </row>
    <row r="44" spans="1:8" ht="17.25" customHeight="1" x14ac:dyDescent="0.3">
      <c r="A44" s="18"/>
      <c r="B44" s="18"/>
      <c r="C44" s="29"/>
    </row>
    <row r="45" spans="1:8" ht="17.25" customHeight="1" x14ac:dyDescent="0.3">
      <c r="A45" s="18"/>
      <c r="B45" s="18"/>
      <c r="C45" s="29"/>
    </row>
    <row r="46" spans="1:8" ht="17.25" customHeight="1" x14ac:dyDescent="0.3">
      <c r="A46" s="18"/>
      <c r="B46" s="18"/>
      <c r="C46" s="29"/>
    </row>
    <row r="47" spans="1:8" ht="17.25" customHeight="1" x14ac:dyDescent="0.3">
      <c r="A47" s="18"/>
      <c r="B47" s="18"/>
      <c r="C47" s="29"/>
    </row>
    <row r="48" spans="1:8" ht="17.25" customHeight="1" x14ac:dyDescent="0.3">
      <c r="A48" s="18"/>
      <c r="B48" s="18"/>
      <c r="C48" s="29"/>
    </row>
    <row r="49" spans="1:13" ht="17.25" customHeight="1" x14ac:dyDescent="0.3">
      <c r="A49" s="18"/>
      <c r="B49" s="18"/>
      <c r="C49" s="29"/>
    </row>
    <row r="50" spans="1:13" ht="17.25" customHeight="1" x14ac:dyDescent="0.3">
      <c r="A50" s="18"/>
      <c r="B50" s="18"/>
      <c r="C50" s="29"/>
    </row>
    <row r="51" spans="1:13" ht="17.25" customHeight="1" x14ac:dyDescent="0.3">
      <c r="A51" s="18"/>
      <c r="B51" s="18"/>
      <c r="C51" s="29"/>
    </row>
    <row r="52" spans="1:13" ht="17.25" customHeight="1" x14ac:dyDescent="0.3">
      <c r="A52" s="18"/>
      <c r="B52" s="18"/>
      <c r="C52" s="29"/>
    </row>
    <row r="53" spans="1:13" ht="17.25" customHeight="1" x14ac:dyDescent="0.3">
      <c r="A53" s="18"/>
      <c r="B53" s="18"/>
      <c r="C53" s="29"/>
    </row>
    <row r="54" spans="1:13" ht="17.25" customHeight="1" x14ac:dyDescent="0.3">
      <c r="A54" s="18"/>
      <c r="B54" s="18"/>
      <c r="C54" s="29"/>
    </row>
    <row r="55" spans="1:13" ht="17.25" customHeight="1" x14ac:dyDescent="0.3">
      <c r="A55" s="18"/>
      <c r="B55" s="18"/>
      <c r="C55" s="29"/>
    </row>
    <row r="56" spans="1:13" ht="17.25" customHeight="1" x14ac:dyDescent="0.3">
      <c r="A56" s="18"/>
      <c r="B56" s="18"/>
      <c r="C56" s="29"/>
    </row>
    <row r="57" spans="1:13" ht="17.25" customHeight="1" x14ac:dyDescent="0.3">
      <c r="A57" s="18"/>
      <c r="B57" s="18"/>
      <c r="C57" s="29"/>
    </row>
    <row r="58" spans="1:13" ht="17.25" customHeight="1" x14ac:dyDescent="0.3">
      <c r="A58" s="18"/>
      <c r="B58" s="18"/>
      <c r="C58" s="29"/>
    </row>
    <row r="59" spans="1:13" ht="17.25" customHeight="1" x14ac:dyDescent="0.3">
      <c r="A59" s="18"/>
      <c r="B59" s="18"/>
      <c r="C59" s="29"/>
    </row>
    <row r="60" spans="1:13" ht="17.25" customHeight="1" x14ac:dyDescent="0.3">
      <c r="A60" s="18"/>
      <c r="B60" s="18"/>
      <c r="C60" s="29"/>
    </row>
    <row r="61" spans="1:13" ht="17.25" customHeight="1" x14ac:dyDescent="0.3">
      <c r="A61" s="18"/>
      <c r="B61" s="18"/>
      <c r="C61" s="29"/>
    </row>
    <row r="62" spans="1:13" ht="17" customHeight="1" x14ac:dyDescent="0.3">
      <c r="A62" s="18"/>
      <c r="B62" s="18"/>
      <c r="C62" s="29"/>
    </row>
    <row r="63" spans="1:13" s="183" customFormat="1" ht="27.5" customHeight="1" x14ac:dyDescent="0.35">
      <c r="A63" s="180" t="str">
        <f>'Results &amp; Common Inputs'!A$28</f>
        <v>Life of Business</v>
      </c>
      <c r="B63" s="180" t="str">
        <f>'Results &amp; Common Inputs'!B$28</f>
        <v>units</v>
      </c>
      <c r="C63" s="181" t="str">
        <f>'Results &amp; Common Inputs'!C$28</f>
        <v>Total</v>
      </c>
      <c r="D63" s="182">
        <f>'Results &amp; Common Inputs'!D$28</f>
        <v>2026</v>
      </c>
      <c r="E63" s="182">
        <f>'Results &amp; Common Inputs'!E$28</f>
        <v>2027</v>
      </c>
      <c r="F63" s="182">
        <f>'Results &amp; Common Inputs'!F$28</f>
        <v>2028</v>
      </c>
      <c r="G63" s="182">
        <f>'Results &amp; Common Inputs'!G$28</f>
        <v>2029</v>
      </c>
      <c r="H63" s="182">
        <f>'Results &amp; Common Inputs'!H$28</f>
        <v>2030</v>
      </c>
      <c r="I63" s="182">
        <f>'Results &amp; Common Inputs'!I$28</f>
        <v>2031</v>
      </c>
      <c r="J63" s="182">
        <f>'Results &amp; Common Inputs'!J$28</f>
        <v>2032</v>
      </c>
      <c r="K63" s="182">
        <f>'Results &amp; Common Inputs'!K$28</f>
        <v>2033</v>
      </c>
      <c r="L63" s="182">
        <f>'Results &amp; Common Inputs'!L$28</f>
        <v>2034</v>
      </c>
      <c r="M63" s="182">
        <f>'Results &amp; Common Inputs'!M$28</f>
        <v>2035</v>
      </c>
    </row>
    <row r="64" spans="1:13" s="63" customFormat="1" ht="43.75" customHeight="1" x14ac:dyDescent="0.35">
      <c r="A64" s="98" t="s">
        <v>5</v>
      </c>
      <c r="C64" s="64"/>
      <c r="D64" s="64"/>
      <c r="E64" s="64"/>
      <c r="F64" s="64"/>
      <c r="G64" s="64"/>
      <c r="H64" s="64"/>
      <c r="I64" s="64"/>
      <c r="J64" s="64"/>
      <c r="K64" s="64"/>
      <c r="L64" s="64"/>
      <c r="M64" s="64"/>
    </row>
    <row r="65" spans="1:13" ht="14.5" x14ac:dyDescent="0.35">
      <c r="A65" s="1" t="s">
        <v>8</v>
      </c>
      <c r="B65" s="18"/>
      <c r="D65" s="21"/>
      <c r="E65" s="21"/>
      <c r="F65" s="21"/>
      <c r="G65" s="21"/>
      <c r="H65" s="21"/>
      <c r="I65" s="21"/>
      <c r="J65" s="21"/>
      <c r="K65" s="21"/>
      <c r="L65" s="21"/>
      <c r="M65" s="21"/>
    </row>
    <row r="66" spans="1:13" s="23" customFormat="1" x14ac:dyDescent="0.3">
      <c r="A66" s="92" t="s">
        <v>197</v>
      </c>
      <c r="B66" s="19"/>
      <c r="C66" s="100"/>
      <c r="D66" s="100"/>
      <c r="E66" s="100"/>
      <c r="F66" s="100"/>
      <c r="G66" s="100"/>
      <c r="H66" s="100"/>
      <c r="I66" s="100"/>
      <c r="J66" s="100"/>
      <c r="K66" s="100"/>
      <c r="L66" s="100"/>
      <c r="M66" s="100"/>
    </row>
    <row r="67" spans="1:13" s="19" customFormat="1" x14ac:dyDescent="0.3">
      <c r="A67" s="135" t="s">
        <v>58</v>
      </c>
      <c r="B67" s="130" t="s">
        <v>47</v>
      </c>
      <c r="C67" s="137">
        <f>SUM(D67:M67)</f>
        <v>2900</v>
      </c>
      <c r="D67" s="137"/>
      <c r="E67" s="137"/>
      <c r="F67" s="137">
        <v>800</v>
      </c>
      <c r="G67" s="137">
        <v>600</v>
      </c>
      <c r="H67" s="137">
        <v>600</v>
      </c>
      <c r="I67" s="137">
        <v>600</v>
      </c>
      <c r="J67" s="137">
        <v>300</v>
      </c>
      <c r="K67" s="137"/>
      <c r="L67" s="137"/>
      <c r="M67" s="137"/>
    </row>
    <row r="68" spans="1:13" s="19" customFormat="1" x14ac:dyDescent="0.3">
      <c r="A68" s="135" t="s">
        <v>60</v>
      </c>
      <c r="B68" s="130" t="s">
        <v>47</v>
      </c>
      <c r="C68" s="137">
        <f>SUM(D68:M68)</f>
        <v>1700</v>
      </c>
      <c r="D68" s="137"/>
      <c r="E68" s="137"/>
      <c r="F68" s="137"/>
      <c r="G68" s="137">
        <v>400</v>
      </c>
      <c r="H68" s="137">
        <v>500</v>
      </c>
      <c r="I68" s="137">
        <v>500</v>
      </c>
      <c r="J68" s="137">
        <v>300</v>
      </c>
      <c r="K68" s="137"/>
      <c r="L68" s="137"/>
      <c r="M68" s="137"/>
    </row>
    <row r="69" spans="1:13" s="19" customFormat="1" x14ac:dyDescent="0.3">
      <c r="A69" s="135" t="s">
        <v>106</v>
      </c>
      <c r="B69" s="130" t="s">
        <v>105</v>
      </c>
      <c r="C69" s="147">
        <f>C70*31.1/C68</f>
        <v>3.2941176470588234</v>
      </c>
      <c r="D69" s="148"/>
      <c r="E69" s="148"/>
      <c r="F69" s="148"/>
      <c r="G69" s="148">
        <v>3.1</v>
      </c>
      <c r="H69" s="148">
        <v>3.3</v>
      </c>
      <c r="I69" s="148">
        <v>3.2</v>
      </c>
      <c r="J69" s="148">
        <v>3.7</v>
      </c>
      <c r="K69" s="148"/>
      <c r="L69" s="148"/>
      <c r="M69" s="148"/>
    </row>
    <row r="70" spans="1:13" x14ac:dyDescent="0.3">
      <c r="A70" s="17" t="s">
        <v>9</v>
      </c>
      <c r="B70" s="17" t="s">
        <v>103</v>
      </c>
      <c r="C70" s="33">
        <f>SUM(D70:M70)</f>
        <v>180.064308681672</v>
      </c>
      <c r="D70" s="33">
        <f>D68*D69/31.1</f>
        <v>0</v>
      </c>
      <c r="E70" s="33">
        <f>E68*E69/31.1</f>
        <v>0</v>
      </c>
      <c r="F70" s="33">
        <f>F68*F69/31.1</f>
        <v>0</v>
      </c>
      <c r="G70" s="33">
        <f>G68*G69/31.1</f>
        <v>39.871382636655945</v>
      </c>
      <c r="H70" s="33">
        <f t="shared" ref="H70:M70" si="9">H68*H69/31.1</f>
        <v>53.054662379421217</v>
      </c>
      <c r="I70" s="33">
        <f t="shared" si="9"/>
        <v>51.446945337620576</v>
      </c>
      <c r="J70" s="33">
        <f t="shared" si="9"/>
        <v>35.691318327974273</v>
      </c>
      <c r="K70" s="33">
        <f t="shared" si="9"/>
        <v>0</v>
      </c>
      <c r="L70" s="33">
        <f t="shared" si="9"/>
        <v>0</v>
      </c>
      <c r="M70" s="33">
        <f t="shared" si="9"/>
        <v>0</v>
      </c>
    </row>
    <row r="71" spans="1:13" s="19" customFormat="1" x14ac:dyDescent="0.3">
      <c r="A71" s="149" t="s">
        <v>108</v>
      </c>
      <c r="B71" s="134" t="s">
        <v>10</v>
      </c>
      <c r="C71" s="150">
        <f>C72/C70</f>
        <v>0.90007142857142874</v>
      </c>
      <c r="D71" s="150"/>
      <c r="E71" s="150"/>
      <c r="F71" s="150"/>
      <c r="G71" s="150">
        <v>0.83</v>
      </c>
      <c r="H71" s="150">
        <v>0.92</v>
      </c>
      <c r="I71" s="150">
        <f>H71</f>
        <v>0.92</v>
      </c>
      <c r="J71" s="150">
        <f>I71</f>
        <v>0.92</v>
      </c>
      <c r="K71" s="150">
        <f>J71</f>
        <v>0.92</v>
      </c>
      <c r="L71" s="150">
        <f>K71</f>
        <v>0.92</v>
      </c>
      <c r="M71" s="150"/>
    </row>
    <row r="72" spans="1:13" x14ac:dyDescent="0.3">
      <c r="A72" s="18" t="s">
        <v>11</v>
      </c>
      <c r="B72" s="17" t="s">
        <v>103</v>
      </c>
      <c r="C72" s="32">
        <f>SUM(D72:M72)</f>
        <v>162.07073954983923</v>
      </c>
      <c r="D72" s="79">
        <f>D68*D69*D71/31.1</f>
        <v>0</v>
      </c>
      <c r="E72" s="79">
        <f t="shared" ref="E72:M72" si="10">E68*E69*E71/31.1</f>
        <v>0</v>
      </c>
      <c r="F72" s="79">
        <f t="shared" si="10"/>
        <v>0</v>
      </c>
      <c r="G72" s="79">
        <f t="shared" si="10"/>
        <v>33.09324758842444</v>
      </c>
      <c r="H72" s="79">
        <f t="shared" si="10"/>
        <v>48.81028938906752</v>
      </c>
      <c r="I72" s="79">
        <f t="shared" si="10"/>
        <v>47.331189710610929</v>
      </c>
      <c r="J72" s="79">
        <f t="shared" si="10"/>
        <v>32.836012861736336</v>
      </c>
      <c r="K72" s="79">
        <f t="shared" si="10"/>
        <v>0</v>
      </c>
      <c r="L72" s="79">
        <f t="shared" si="10"/>
        <v>0</v>
      </c>
      <c r="M72" s="79">
        <f t="shared" si="10"/>
        <v>0</v>
      </c>
    </row>
    <row r="73" spans="1:13" ht="11.5" customHeight="1" x14ac:dyDescent="0.3">
      <c r="A73" s="18"/>
      <c r="B73" s="18"/>
      <c r="D73" s="21"/>
      <c r="E73" s="21"/>
      <c r="F73" s="21"/>
      <c r="G73" s="21"/>
      <c r="H73" s="21"/>
      <c r="I73" s="21"/>
      <c r="J73" s="21"/>
      <c r="K73" s="21"/>
      <c r="L73" s="21"/>
      <c r="M73" s="21"/>
    </row>
    <row r="74" spans="1:13" x14ac:dyDescent="0.3">
      <c r="A74" s="31" t="s">
        <v>12</v>
      </c>
      <c r="B74" s="18"/>
      <c r="D74" s="21"/>
      <c r="E74" s="21"/>
      <c r="F74" s="21"/>
      <c r="G74" s="21"/>
      <c r="H74" s="21"/>
      <c r="I74" s="21"/>
      <c r="J74" s="21"/>
      <c r="K74" s="21"/>
      <c r="L74" s="21"/>
      <c r="M74" s="21"/>
    </row>
    <row r="75" spans="1:13" s="103" customFormat="1" x14ac:dyDescent="0.3">
      <c r="A75" s="151" t="str">
        <f>'Results &amp; Common Inputs'!A41</f>
        <v xml:space="preserve">Ore and gold stocks - equivalent </v>
      </c>
      <c r="B75" s="151" t="str">
        <f>'Results &amp; Common Inputs'!B41</f>
        <v>weeks</v>
      </c>
      <c r="C75" s="151"/>
      <c r="D75" s="113">
        <f>'Results &amp; Common Inputs'!D41</f>
        <v>5</v>
      </c>
      <c r="E75" s="113">
        <f>'Results &amp; Common Inputs'!E41</f>
        <v>5</v>
      </c>
      <c r="F75" s="113">
        <f>'Results &amp; Common Inputs'!F41</f>
        <v>5</v>
      </c>
      <c r="G75" s="113">
        <f>'Results &amp; Common Inputs'!G41</f>
        <v>5</v>
      </c>
      <c r="H75" s="113">
        <f>'Results &amp; Common Inputs'!H41</f>
        <v>5</v>
      </c>
      <c r="I75" s="113">
        <f>'Results &amp; Common Inputs'!I41</f>
        <v>5</v>
      </c>
      <c r="J75" s="113">
        <f>'Results &amp; Common Inputs'!J41</f>
        <v>5</v>
      </c>
      <c r="K75" s="113">
        <f>'Results &amp; Common Inputs'!K41</f>
        <v>5</v>
      </c>
      <c r="L75" s="113">
        <f>'Results &amp; Common Inputs'!L41</f>
        <v>5</v>
      </c>
      <c r="M75" s="113">
        <f>'Results &amp; Common Inputs'!M41</f>
        <v>5</v>
      </c>
    </row>
    <row r="76" spans="1:13" ht="13.5" thickBot="1" x14ac:dyDescent="0.35">
      <c r="A76" s="17" t="s">
        <v>116</v>
      </c>
      <c r="B76" s="17" t="s">
        <v>103</v>
      </c>
      <c r="C76" s="33"/>
      <c r="D76" s="33">
        <f t="shared" ref="D76:M76" si="11">IF(E72=0,0,D75/52*D72)</f>
        <v>0</v>
      </c>
      <c r="E76" s="33">
        <f t="shared" si="11"/>
        <v>0</v>
      </c>
      <c r="F76" s="33">
        <f t="shared" si="11"/>
        <v>0</v>
      </c>
      <c r="G76" s="33">
        <f t="shared" si="11"/>
        <v>3.182043037348504</v>
      </c>
      <c r="H76" s="33">
        <f t="shared" si="11"/>
        <v>4.6932970566411081</v>
      </c>
      <c r="I76" s="33">
        <f t="shared" si="11"/>
        <v>4.5510759337125899</v>
      </c>
      <c r="J76" s="33">
        <f t="shared" si="11"/>
        <v>0</v>
      </c>
      <c r="K76" s="33">
        <f t="shared" si="11"/>
        <v>0</v>
      </c>
      <c r="L76" s="33">
        <f t="shared" si="11"/>
        <v>0</v>
      </c>
      <c r="M76" s="33">
        <f t="shared" si="11"/>
        <v>0</v>
      </c>
    </row>
    <row r="77" spans="1:13" ht="13.5" thickBot="1" x14ac:dyDescent="0.35">
      <c r="A77" s="18" t="s">
        <v>14</v>
      </c>
      <c r="B77" s="17" t="s">
        <v>103</v>
      </c>
      <c r="C77" s="32">
        <f>SUM(D77:M77)</f>
        <v>162.07073954983923</v>
      </c>
      <c r="D77" s="22">
        <v>0</v>
      </c>
      <c r="E77" s="156">
        <f t="shared" ref="E77:M77" si="12">D76+E72-E76</f>
        <v>0</v>
      </c>
      <c r="F77" s="79">
        <f t="shared" si="12"/>
        <v>0</v>
      </c>
      <c r="G77" s="79">
        <f t="shared" si="12"/>
        <v>29.911204551075937</v>
      </c>
      <c r="H77" s="79">
        <f t="shared" si="12"/>
        <v>47.29903536977492</v>
      </c>
      <c r="I77" s="79">
        <f t="shared" si="12"/>
        <v>47.473410833539447</v>
      </c>
      <c r="J77" s="79">
        <f t="shared" si="12"/>
        <v>37.387088795448925</v>
      </c>
      <c r="K77" s="79">
        <f t="shared" si="12"/>
        <v>0</v>
      </c>
      <c r="L77" s="79">
        <f t="shared" si="12"/>
        <v>0</v>
      </c>
      <c r="M77" s="79">
        <f t="shared" si="12"/>
        <v>0</v>
      </c>
    </row>
    <row r="78" spans="1:13" x14ac:dyDescent="0.3">
      <c r="A78" s="18"/>
      <c r="B78" s="18"/>
      <c r="D78" s="21"/>
      <c r="E78" s="32"/>
      <c r="F78" s="32"/>
      <c r="G78" s="32"/>
      <c r="H78" s="32"/>
      <c r="I78" s="32"/>
      <c r="J78" s="32"/>
      <c r="K78" s="32"/>
      <c r="L78" s="32"/>
      <c r="M78" s="32"/>
    </row>
    <row r="79" spans="1:13" x14ac:dyDescent="0.3">
      <c r="A79" s="31" t="s">
        <v>15</v>
      </c>
      <c r="B79" s="18"/>
      <c r="D79" s="21"/>
      <c r="E79" s="21"/>
      <c r="F79" s="21"/>
      <c r="G79" s="21"/>
      <c r="H79" s="21"/>
      <c r="I79" s="21"/>
      <c r="J79" s="21"/>
      <c r="K79" s="21"/>
      <c r="L79" s="21"/>
      <c r="M79" s="21"/>
    </row>
    <row r="80" spans="1:13" s="103" customFormat="1" x14ac:dyDescent="0.3">
      <c r="A80" s="151" t="str">
        <f>'Results &amp; Common Inputs'!A31</f>
        <v>Gold price forecast</v>
      </c>
      <c r="B80" s="151" t="str">
        <f>'Results &amp; Common Inputs'!B31</f>
        <v>US$/ounce Real</v>
      </c>
      <c r="C80" s="151"/>
      <c r="D80" s="113">
        <f>'Results &amp; Common Inputs'!D31</f>
        <v>2000</v>
      </c>
      <c r="E80" s="113">
        <f>'Results &amp; Common Inputs'!E31</f>
        <v>2000</v>
      </c>
      <c r="F80" s="113">
        <f>'Results &amp; Common Inputs'!F31</f>
        <v>2000</v>
      </c>
      <c r="G80" s="113">
        <f>'Results &amp; Common Inputs'!G31</f>
        <v>2000</v>
      </c>
      <c r="H80" s="113">
        <f>'Results &amp; Common Inputs'!H31</f>
        <v>2000</v>
      </c>
      <c r="I80" s="113">
        <f>'Results &amp; Common Inputs'!I31</f>
        <v>2000</v>
      </c>
      <c r="J80" s="113">
        <f>'Results &amp; Common Inputs'!J31</f>
        <v>2000</v>
      </c>
      <c r="K80" s="113">
        <f>'Results &amp; Common Inputs'!K31</f>
        <v>2000</v>
      </c>
      <c r="L80" s="113">
        <f>'Results &amp; Common Inputs'!L31</f>
        <v>2000</v>
      </c>
      <c r="M80" s="113">
        <f>'Results &amp; Common Inputs'!M31</f>
        <v>2000</v>
      </c>
    </row>
    <row r="81" spans="1:13" x14ac:dyDescent="0.3">
      <c r="A81" s="18" t="s">
        <v>18</v>
      </c>
      <c r="B81" s="17" t="s">
        <v>124</v>
      </c>
      <c r="C81" s="32">
        <f>SUM(D81:M81)</f>
        <v>324141.47909967846</v>
      </c>
      <c r="D81" s="32">
        <f t="shared" ref="D81:M81" si="13">D77*D80</f>
        <v>0</v>
      </c>
      <c r="E81" s="32">
        <f t="shared" si="13"/>
        <v>0</v>
      </c>
      <c r="F81" s="32">
        <f t="shared" si="13"/>
        <v>0</v>
      </c>
      <c r="G81" s="32">
        <f t="shared" si="13"/>
        <v>59822.409102151876</v>
      </c>
      <c r="H81" s="32">
        <f t="shared" si="13"/>
        <v>94598.070739549847</v>
      </c>
      <c r="I81" s="32">
        <f t="shared" si="13"/>
        <v>94946.821667078897</v>
      </c>
      <c r="J81" s="32">
        <f t="shared" si="13"/>
        <v>74774.177590897845</v>
      </c>
      <c r="K81" s="32">
        <f t="shared" si="13"/>
        <v>0</v>
      </c>
      <c r="L81" s="32">
        <f t="shared" si="13"/>
        <v>0</v>
      </c>
      <c r="M81" s="32">
        <f t="shared" si="13"/>
        <v>0</v>
      </c>
    </row>
    <row r="82" spans="1:13" x14ac:dyDescent="0.3">
      <c r="A82" s="18"/>
      <c r="B82" s="18"/>
      <c r="D82" s="21"/>
      <c r="E82" s="21"/>
      <c r="F82" s="21"/>
      <c r="G82" s="21"/>
      <c r="H82" s="21"/>
      <c r="I82" s="21"/>
      <c r="J82" s="21"/>
      <c r="K82" s="21"/>
      <c r="L82" s="21"/>
      <c r="M82" s="21"/>
    </row>
    <row r="83" spans="1:13" x14ac:dyDescent="0.3">
      <c r="A83" s="31" t="s">
        <v>19</v>
      </c>
      <c r="B83" s="18"/>
      <c r="D83" s="21"/>
      <c r="E83" s="21"/>
      <c r="F83" s="21"/>
      <c r="G83" s="21"/>
      <c r="H83" s="21"/>
      <c r="I83" s="21"/>
      <c r="J83" s="21"/>
      <c r="K83" s="21"/>
      <c r="L83" s="21"/>
      <c r="M83" s="21"/>
    </row>
    <row r="84" spans="1:13" s="103" customFormat="1" x14ac:dyDescent="0.3">
      <c r="A84" s="151" t="str">
        <f>'Results &amp; Common Inputs'!A42</f>
        <v>Debtors (who owe you cash)</v>
      </c>
      <c r="B84" s="151" t="str">
        <f>'Results &amp; Common Inputs'!B42</f>
        <v>days</v>
      </c>
      <c r="C84" s="151"/>
      <c r="D84" s="113">
        <f>'Results &amp; Common Inputs'!D42</f>
        <v>30</v>
      </c>
      <c r="E84" s="113">
        <f>'Results &amp; Common Inputs'!E42</f>
        <v>30</v>
      </c>
      <c r="F84" s="113">
        <f>'Results &amp; Common Inputs'!F42</f>
        <v>30</v>
      </c>
      <c r="G84" s="113">
        <f>'Results &amp; Common Inputs'!G42</f>
        <v>30</v>
      </c>
      <c r="H84" s="113">
        <f>'Results &amp; Common Inputs'!H42</f>
        <v>30</v>
      </c>
      <c r="I84" s="113">
        <f>'Results &amp; Common Inputs'!I42</f>
        <v>30</v>
      </c>
      <c r="J84" s="113">
        <f>'Results &amp; Common Inputs'!J42</f>
        <v>30</v>
      </c>
      <c r="K84" s="113">
        <f>'Results &amp; Common Inputs'!K42</f>
        <v>30</v>
      </c>
      <c r="L84" s="113">
        <f>'Results &amp; Common Inputs'!L42</f>
        <v>30</v>
      </c>
      <c r="M84" s="113">
        <f>'Results &amp; Common Inputs'!M42</f>
        <v>30</v>
      </c>
    </row>
    <row r="85" spans="1:13" ht="13.5" thickBot="1" x14ac:dyDescent="0.35">
      <c r="A85" s="17" t="s">
        <v>21</v>
      </c>
      <c r="B85" s="17" t="s">
        <v>124</v>
      </c>
      <c r="C85" s="32"/>
      <c r="D85" s="33">
        <f t="shared" ref="D85:M85" si="14">IF(E72=0,0,D81*D84/365)</f>
        <v>0</v>
      </c>
      <c r="E85" s="33">
        <f t="shared" si="14"/>
        <v>0</v>
      </c>
      <c r="F85" s="33">
        <f t="shared" si="14"/>
        <v>0</v>
      </c>
      <c r="G85" s="33">
        <f t="shared" si="14"/>
        <v>4916.9103371631682</v>
      </c>
      <c r="H85" s="33">
        <f t="shared" si="14"/>
        <v>7775.1838964013577</v>
      </c>
      <c r="I85" s="33">
        <f t="shared" si="14"/>
        <v>7803.8483561982657</v>
      </c>
      <c r="J85" s="33">
        <f t="shared" si="14"/>
        <v>0</v>
      </c>
      <c r="K85" s="33">
        <f t="shared" si="14"/>
        <v>0</v>
      </c>
      <c r="L85" s="33">
        <f t="shared" si="14"/>
        <v>0</v>
      </c>
      <c r="M85" s="33">
        <f t="shared" si="14"/>
        <v>0</v>
      </c>
    </row>
    <row r="86" spans="1:13" ht="13.5" thickBot="1" x14ac:dyDescent="0.35">
      <c r="A86" s="17" t="s">
        <v>104</v>
      </c>
      <c r="B86" s="17" t="s">
        <v>124</v>
      </c>
      <c r="C86" s="32">
        <f>SUM(D86:M86)</f>
        <v>0</v>
      </c>
      <c r="D86" s="22">
        <v>0</v>
      </c>
      <c r="E86" s="157">
        <f>E85-D85</f>
        <v>0</v>
      </c>
      <c r="F86" s="37">
        <f>F85-E85</f>
        <v>0</v>
      </c>
      <c r="G86" s="37">
        <f t="shared" ref="G86:M86" si="15">G85-F85</f>
        <v>4916.9103371631682</v>
      </c>
      <c r="H86" s="37">
        <f t="shared" si="15"/>
        <v>2858.2735592381896</v>
      </c>
      <c r="I86" s="37">
        <f t="shared" si="15"/>
        <v>28.664459796907977</v>
      </c>
      <c r="J86" s="37">
        <f t="shared" si="15"/>
        <v>-7803.8483561982657</v>
      </c>
      <c r="K86" s="37">
        <f t="shared" si="15"/>
        <v>0</v>
      </c>
      <c r="L86" s="37">
        <f t="shared" si="15"/>
        <v>0</v>
      </c>
      <c r="M86" s="37">
        <f t="shared" si="15"/>
        <v>0</v>
      </c>
    </row>
    <row r="87" spans="1:13" ht="13.5" customHeight="1" x14ac:dyDescent="0.3">
      <c r="A87" s="18"/>
      <c r="B87" s="18"/>
      <c r="D87" s="21"/>
      <c r="E87" s="21"/>
      <c r="F87" s="21"/>
      <c r="G87" s="21"/>
      <c r="H87" s="21"/>
      <c r="I87" s="21"/>
      <c r="J87" s="21"/>
      <c r="K87" s="21"/>
      <c r="L87" s="21"/>
      <c r="M87" s="21"/>
    </row>
    <row r="88" spans="1:13" ht="15.5" x14ac:dyDescent="0.35">
      <c r="A88" s="107" t="s">
        <v>150</v>
      </c>
      <c r="B88" s="17" t="s">
        <v>124</v>
      </c>
      <c r="C88" s="155">
        <f>SUM(D88:M88)</f>
        <v>324141.47909967846</v>
      </c>
      <c r="D88" s="108">
        <f t="shared" ref="D88:M88" si="16">D81-D86</f>
        <v>0</v>
      </c>
      <c r="E88" s="108">
        <f t="shared" si="16"/>
        <v>0</v>
      </c>
      <c r="F88" s="108">
        <f t="shared" si="16"/>
        <v>0</v>
      </c>
      <c r="G88" s="108">
        <f t="shared" si="16"/>
        <v>54905.498764988704</v>
      </c>
      <c r="H88" s="108">
        <f t="shared" si="16"/>
        <v>91739.797180311652</v>
      </c>
      <c r="I88" s="108">
        <f t="shared" si="16"/>
        <v>94918.157207281984</v>
      </c>
      <c r="J88" s="108">
        <f t="shared" si="16"/>
        <v>82578.025947096117</v>
      </c>
      <c r="K88" s="108">
        <f t="shared" si="16"/>
        <v>0</v>
      </c>
      <c r="L88" s="108">
        <f t="shared" si="16"/>
        <v>0</v>
      </c>
      <c r="M88" s="108">
        <f t="shared" si="16"/>
        <v>0</v>
      </c>
    </row>
    <row r="89" spans="1:13" ht="23.5" customHeight="1" x14ac:dyDescent="0.3">
      <c r="C89" s="32"/>
      <c r="D89" s="32"/>
      <c r="E89" s="32"/>
      <c r="F89" s="32"/>
      <c r="G89" s="32"/>
      <c r="H89" s="32"/>
      <c r="I89" s="32"/>
      <c r="J89" s="32"/>
      <c r="K89" s="32"/>
      <c r="L89" s="32"/>
      <c r="M89" s="32"/>
    </row>
    <row r="90" spans="1:13" s="183" customFormat="1" ht="27.5" customHeight="1" x14ac:dyDescent="0.35">
      <c r="A90" s="180" t="str">
        <f>'Results &amp; Common Inputs'!A$28</f>
        <v>Life of Business</v>
      </c>
      <c r="B90" s="180" t="str">
        <f>'Results &amp; Common Inputs'!B$28</f>
        <v>units</v>
      </c>
      <c r="C90" s="181" t="str">
        <f>'Results &amp; Common Inputs'!C$28</f>
        <v>Total</v>
      </c>
      <c r="D90" s="182">
        <f>'Results &amp; Common Inputs'!D$28</f>
        <v>2026</v>
      </c>
      <c r="E90" s="182">
        <f>'Results &amp; Common Inputs'!E$28</f>
        <v>2027</v>
      </c>
      <c r="F90" s="182">
        <f>'Results &amp; Common Inputs'!F$28</f>
        <v>2028</v>
      </c>
      <c r="G90" s="182">
        <f>'Results &amp; Common Inputs'!G$28</f>
        <v>2029</v>
      </c>
      <c r="H90" s="182">
        <f>'Results &amp; Common Inputs'!H$28</f>
        <v>2030</v>
      </c>
      <c r="I90" s="182">
        <f>'Results &amp; Common Inputs'!I$28</f>
        <v>2031</v>
      </c>
      <c r="J90" s="182">
        <f>'Results &amp; Common Inputs'!J$28</f>
        <v>2032</v>
      </c>
      <c r="K90" s="182">
        <f>'Results &amp; Common Inputs'!K$28</f>
        <v>2033</v>
      </c>
      <c r="L90" s="182">
        <f>'Results &amp; Common Inputs'!L$28</f>
        <v>2034</v>
      </c>
      <c r="M90" s="182">
        <f>'Results &amp; Common Inputs'!M$28</f>
        <v>2035</v>
      </c>
    </row>
    <row r="91" spans="1:13" s="63" customFormat="1" ht="43.75" customHeight="1" x14ac:dyDescent="0.35">
      <c r="A91" s="98" t="s">
        <v>22</v>
      </c>
      <c r="C91" s="64"/>
      <c r="D91" s="64"/>
      <c r="E91" s="64"/>
      <c r="F91" s="64"/>
      <c r="G91" s="64"/>
      <c r="H91" s="64"/>
      <c r="I91" s="64"/>
      <c r="J91" s="64"/>
      <c r="K91" s="64"/>
      <c r="L91" s="64"/>
      <c r="M91" s="64"/>
    </row>
    <row r="92" spans="1:13" x14ac:dyDescent="0.3">
      <c r="A92" s="31" t="s">
        <v>50</v>
      </c>
      <c r="B92" s="18"/>
      <c r="D92" s="21"/>
      <c r="E92" s="21"/>
      <c r="F92" s="21"/>
      <c r="G92" s="21"/>
      <c r="H92" s="21"/>
      <c r="I92" s="21"/>
      <c r="J92" s="21"/>
      <c r="K92" s="21"/>
      <c r="L92" s="21"/>
      <c r="M92" s="21"/>
    </row>
    <row r="93" spans="1:13" x14ac:dyDescent="0.3">
      <c r="A93" s="92" t="s">
        <v>199</v>
      </c>
      <c r="C93" s="11"/>
    </row>
    <row r="94" spans="1:13" x14ac:dyDescent="0.3">
      <c r="A94" s="121" t="s">
        <v>48</v>
      </c>
      <c r="B94" s="121" t="s">
        <v>124</v>
      </c>
      <c r="C94" s="33">
        <f>SUM(D94:M94)</f>
        <v>2000</v>
      </c>
      <c r="D94" s="123">
        <v>2000</v>
      </c>
      <c r="E94" s="123"/>
      <c r="F94" s="123"/>
      <c r="G94" s="123"/>
      <c r="H94" s="123"/>
      <c r="I94" s="123"/>
      <c r="J94" s="123"/>
      <c r="K94" s="123"/>
      <c r="L94" s="123"/>
      <c r="M94" s="123"/>
    </row>
    <row r="95" spans="1:13" x14ac:dyDescent="0.3">
      <c r="A95" s="121" t="s">
        <v>134</v>
      </c>
      <c r="B95" s="121" t="s">
        <v>124</v>
      </c>
      <c r="C95" s="33"/>
      <c r="D95" s="123"/>
      <c r="E95" s="123"/>
      <c r="F95" s="123">
        <v>7000</v>
      </c>
      <c r="G95" s="123"/>
      <c r="H95" s="123"/>
      <c r="I95" s="123"/>
      <c r="J95" s="123"/>
      <c r="K95" s="123"/>
      <c r="L95" s="123"/>
      <c r="M95" s="123"/>
    </row>
    <row r="96" spans="1:13" x14ac:dyDescent="0.3">
      <c r="A96" s="121" t="s">
        <v>82</v>
      </c>
      <c r="B96" s="121" t="s">
        <v>124</v>
      </c>
      <c r="C96" s="33">
        <f t="shared" ref="C96:C101" si="17">SUM(D96:M96)</f>
        <v>4000</v>
      </c>
      <c r="D96" s="123">
        <v>2500</v>
      </c>
      <c r="E96" s="123">
        <v>1500</v>
      </c>
      <c r="F96" s="123"/>
      <c r="G96" s="123"/>
      <c r="H96" s="123"/>
      <c r="I96" s="123"/>
      <c r="J96" s="123"/>
      <c r="K96" s="123"/>
      <c r="L96" s="123"/>
      <c r="M96" s="123"/>
    </row>
    <row r="97" spans="1:13" x14ac:dyDescent="0.3">
      <c r="A97" s="121" t="s">
        <v>83</v>
      </c>
      <c r="B97" s="121" t="s">
        <v>124</v>
      </c>
      <c r="C97" s="33">
        <f t="shared" si="17"/>
        <v>15000</v>
      </c>
      <c r="D97" s="123"/>
      <c r="E97" s="123">
        <v>9000</v>
      </c>
      <c r="F97" s="123">
        <v>6000</v>
      </c>
      <c r="G97" s="123"/>
      <c r="H97" s="123"/>
      <c r="I97" s="123"/>
      <c r="J97" s="123"/>
      <c r="K97" s="123"/>
      <c r="L97" s="123"/>
      <c r="M97" s="123"/>
    </row>
    <row r="98" spans="1:13" x14ac:dyDescent="0.3">
      <c r="A98" s="121" t="s">
        <v>84</v>
      </c>
      <c r="B98" s="121" t="s">
        <v>124</v>
      </c>
      <c r="C98" s="33">
        <f t="shared" si="17"/>
        <v>14000</v>
      </c>
      <c r="D98" s="123"/>
      <c r="E98" s="123">
        <v>9000</v>
      </c>
      <c r="F98" s="123">
        <v>5000</v>
      </c>
      <c r="G98" s="123"/>
      <c r="H98" s="123"/>
      <c r="I98" s="123"/>
      <c r="J98" s="123"/>
      <c r="K98" s="123"/>
      <c r="L98" s="123"/>
      <c r="M98" s="123"/>
    </row>
    <row r="99" spans="1:13" x14ac:dyDescent="0.3">
      <c r="A99" s="121" t="s">
        <v>85</v>
      </c>
      <c r="B99" s="121" t="s">
        <v>124</v>
      </c>
      <c r="C99" s="33">
        <f t="shared" si="17"/>
        <v>5500</v>
      </c>
      <c r="D99" s="123"/>
      <c r="E99" s="123">
        <v>4000</v>
      </c>
      <c r="F99" s="123">
        <v>1500</v>
      </c>
      <c r="G99" s="123"/>
      <c r="H99" s="123"/>
      <c r="I99" s="123"/>
      <c r="J99" s="123"/>
      <c r="K99" s="123"/>
      <c r="L99" s="123"/>
      <c r="M99" s="123"/>
    </row>
    <row r="100" spans="1:13" x14ac:dyDescent="0.3">
      <c r="A100" s="121" t="s">
        <v>86</v>
      </c>
      <c r="B100" s="121" t="s">
        <v>124</v>
      </c>
      <c r="C100" s="33">
        <f t="shared" si="17"/>
        <v>5000</v>
      </c>
      <c r="D100" s="123"/>
      <c r="E100" s="123">
        <v>2500</v>
      </c>
      <c r="F100" s="123">
        <v>2500</v>
      </c>
      <c r="G100" s="123"/>
      <c r="H100" s="123"/>
      <c r="I100" s="123"/>
      <c r="J100" s="123"/>
      <c r="K100" s="123"/>
      <c r="L100" s="123"/>
      <c r="M100" s="123"/>
    </row>
    <row r="101" spans="1:13" x14ac:dyDescent="0.3">
      <c r="A101" s="121" t="s">
        <v>117</v>
      </c>
      <c r="B101" s="121" t="s">
        <v>124</v>
      </c>
      <c r="C101" s="33">
        <f t="shared" si="17"/>
        <v>5500</v>
      </c>
      <c r="D101" s="123"/>
      <c r="E101" s="123">
        <v>3000</v>
      </c>
      <c r="F101" s="123">
        <v>2500</v>
      </c>
      <c r="G101" s="123"/>
      <c r="H101" s="123"/>
      <c r="I101" s="123"/>
      <c r="J101" s="123"/>
      <c r="K101" s="123"/>
      <c r="L101" s="123"/>
      <c r="M101" s="123"/>
    </row>
    <row r="102" spans="1:13" s="35" customFormat="1" x14ac:dyDescent="0.3">
      <c r="A102" s="34" t="s">
        <v>49</v>
      </c>
      <c r="B102" s="17" t="s">
        <v>124</v>
      </c>
      <c r="C102" s="32">
        <f>SUM(D102:M102)</f>
        <v>58000</v>
      </c>
      <c r="D102" s="79">
        <f>SUM(D94:D101)</f>
        <v>4500</v>
      </c>
      <c r="E102" s="79">
        <f t="shared" ref="E102:M102" si="18">SUM(E94:E101)</f>
        <v>29000</v>
      </c>
      <c r="F102" s="79">
        <f t="shared" si="18"/>
        <v>24500</v>
      </c>
      <c r="G102" s="79">
        <f>SUM(G94:G101)</f>
        <v>0</v>
      </c>
      <c r="H102" s="79">
        <f t="shared" si="18"/>
        <v>0</v>
      </c>
      <c r="I102" s="79">
        <f t="shared" si="18"/>
        <v>0</v>
      </c>
      <c r="J102" s="79">
        <f t="shared" si="18"/>
        <v>0</v>
      </c>
      <c r="K102" s="79">
        <f t="shared" si="18"/>
        <v>0</v>
      </c>
      <c r="L102" s="79">
        <f t="shared" si="18"/>
        <v>0</v>
      </c>
      <c r="M102" s="79">
        <f t="shared" si="18"/>
        <v>0</v>
      </c>
    </row>
    <row r="103" spans="1:13" x14ac:dyDescent="0.3">
      <c r="C103" s="33"/>
      <c r="D103" s="33"/>
      <c r="E103" s="33"/>
      <c r="F103" s="33"/>
      <c r="G103" s="33"/>
      <c r="H103" s="33"/>
      <c r="I103" s="33"/>
      <c r="J103" s="33"/>
      <c r="K103" s="33"/>
      <c r="L103" s="33"/>
      <c r="M103" s="33"/>
    </row>
    <row r="104" spans="1:13" x14ac:dyDescent="0.3">
      <c r="A104" s="31" t="s">
        <v>51</v>
      </c>
      <c r="B104" s="18"/>
      <c r="D104" s="21"/>
      <c r="E104" s="21"/>
      <c r="F104" s="21"/>
      <c r="G104" s="21"/>
      <c r="H104" s="21"/>
      <c r="I104" s="21"/>
      <c r="J104" s="21"/>
      <c r="K104" s="21"/>
      <c r="L104" s="21"/>
      <c r="M104" s="21"/>
    </row>
    <row r="105" spans="1:13" x14ac:dyDescent="0.3">
      <c r="A105" s="92" t="s">
        <v>200</v>
      </c>
      <c r="C105" s="11"/>
    </row>
    <row r="106" spans="1:13" x14ac:dyDescent="0.3">
      <c r="A106" s="121" t="s">
        <v>87</v>
      </c>
      <c r="B106" s="121" t="s">
        <v>124</v>
      </c>
      <c r="C106" s="33">
        <f>SUM(D106:M106)</f>
        <v>1500</v>
      </c>
      <c r="D106" s="123"/>
      <c r="E106" s="123"/>
      <c r="F106" s="123"/>
      <c r="G106" s="123"/>
      <c r="H106" s="123"/>
      <c r="I106" s="123">
        <v>1500</v>
      </c>
      <c r="J106" s="123"/>
      <c r="K106" s="123"/>
      <c r="L106" s="123"/>
      <c r="M106" s="123"/>
    </row>
    <row r="107" spans="1:13" ht="7.25" customHeight="1" x14ac:dyDescent="0.3">
      <c r="C107" s="33"/>
      <c r="D107" s="33"/>
      <c r="E107" s="33"/>
      <c r="F107" s="33"/>
      <c r="G107" s="33"/>
      <c r="H107" s="33"/>
      <c r="I107" s="33"/>
      <c r="J107" s="33"/>
      <c r="K107" s="33"/>
      <c r="L107" s="33"/>
      <c r="M107" s="33"/>
    </row>
    <row r="108" spans="1:13" x14ac:dyDescent="0.3">
      <c r="A108" s="121" t="s">
        <v>118</v>
      </c>
      <c r="B108" s="121" t="s">
        <v>52</v>
      </c>
      <c r="C108" s="33"/>
      <c r="D108" s="158">
        <v>0.1</v>
      </c>
      <c r="E108" s="158">
        <f>D108</f>
        <v>0.1</v>
      </c>
      <c r="F108" s="158">
        <f t="shared" ref="F108:M108" si="19">E108</f>
        <v>0.1</v>
      </c>
      <c r="G108" s="158">
        <f t="shared" si="19"/>
        <v>0.1</v>
      </c>
      <c r="H108" s="158">
        <f t="shared" si="19"/>
        <v>0.1</v>
      </c>
      <c r="I108" s="158">
        <f t="shared" si="19"/>
        <v>0.1</v>
      </c>
      <c r="J108" s="158">
        <f t="shared" si="19"/>
        <v>0.1</v>
      </c>
      <c r="K108" s="158">
        <f t="shared" si="19"/>
        <v>0.1</v>
      </c>
      <c r="L108" s="158">
        <f t="shared" si="19"/>
        <v>0.1</v>
      </c>
      <c r="M108" s="158">
        <f t="shared" si="19"/>
        <v>0.1</v>
      </c>
    </row>
    <row r="109" spans="1:13" x14ac:dyDescent="0.3">
      <c r="A109" s="17" t="s">
        <v>53</v>
      </c>
      <c r="B109" s="17" t="s">
        <v>124</v>
      </c>
      <c r="C109" s="33">
        <f>SUM(D109:M109)</f>
        <v>23200</v>
      </c>
      <c r="D109" s="33">
        <f t="shared" ref="D109:M109" si="20">IF(D72=0,0,$C102*D108)</f>
        <v>0</v>
      </c>
      <c r="E109" s="33">
        <f t="shared" si="20"/>
        <v>0</v>
      </c>
      <c r="F109" s="33">
        <f t="shared" si="20"/>
        <v>0</v>
      </c>
      <c r="G109" s="33">
        <f t="shared" si="20"/>
        <v>5800</v>
      </c>
      <c r="H109" s="33">
        <f t="shared" si="20"/>
        <v>5800</v>
      </c>
      <c r="I109" s="33">
        <f t="shared" si="20"/>
        <v>5800</v>
      </c>
      <c r="J109" s="33">
        <f t="shared" si="20"/>
        <v>5800</v>
      </c>
      <c r="K109" s="33">
        <f t="shared" si="20"/>
        <v>0</v>
      </c>
      <c r="L109" s="33">
        <f t="shared" si="20"/>
        <v>0</v>
      </c>
      <c r="M109" s="33">
        <f t="shared" si="20"/>
        <v>0</v>
      </c>
    </row>
    <row r="110" spans="1:13" ht="7.75" customHeight="1" x14ac:dyDescent="0.3">
      <c r="C110" s="33"/>
      <c r="D110" s="33"/>
      <c r="E110" s="33"/>
      <c r="F110" s="33"/>
      <c r="G110" s="33"/>
      <c r="H110" s="33"/>
      <c r="I110" s="33"/>
      <c r="J110" s="33"/>
      <c r="K110" s="33"/>
      <c r="L110" s="33"/>
      <c r="M110" s="33"/>
    </row>
    <row r="111" spans="1:13" s="35" customFormat="1" x14ac:dyDescent="0.3">
      <c r="A111" s="34" t="s">
        <v>88</v>
      </c>
      <c r="B111" s="17" t="s">
        <v>124</v>
      </c>
      <c r="C111" s="32">
        <f>SUM(D111:M111)</f>
        <v>24700</v>
      </c>
      <c r="D111" s="79">
        <f t="shared" ref="D111:M111" si="21">D106+D109</f>
        <v>0</v>
      </c>
      <c r="E111" s="79">
        <f t="shared" si="21"/>
        <v>0</v>
      </c>
      <c r="F111" s="79">
        <f t="shared" si="21"/>
        <v>0</v>
      </c>
      <c r="G111" s="79">
        <f t="shared" si="21"/>
        <v>5800</v>
      </c>
      <c r="H111" s="79">
        <f t="shared" si="21"/>
        <v>5800</v>
      </c>
      <c r="I111" s="79">
        <f t="shared" si="21"/>
        <v>7300</v>
      </c>
      <c r="J111" s="79">
        <f t="shared" si="21"/>
        <v>5800</v>
      </c>
      <c r="K111" s="79">
        <f t="shared" si="21"/>
        <v>0</v>
      </c>
      <c r="L111" s="79">
        <f t="shared" si="21"/>
        <v>0</v>
      </c>
      <c r="M111" s="79">
        <f t="shared" si="21"/>
        <v>0</v>
      </c>
    </row>
    <row r="112" spans="1:13" x14ac:dyDescent="0.3">
      <c r="C112" s="33"/>
      <c r="D112" s="33"/>
      <c r="E112" s="33"/>
      <c r="F112" s="33"/>
      <c r="G112" s="33"/>
      <c r="H112" s="33"/>
      <c r="I112" s="33"/>
      <c r="J112" s="33"/>
      <c r="K112" s="33"/>
      <c r="L112" s="33"/>
      <c r="M112" s="33"/>
    </row>
    <row r="113" spans="1:13" ht="15.5" x14ac:dyDescent="0.35">
      <c r="A113" s="107" t="s">
        <v>151</v>
      </c>
      <c r="B113" s="17" t="s">
        <v>124</v>
      </c>
      <c r="C113" s="155">
        <f>SUM(D113:M113)</f>
        <v>82700</v>
      </c>
      <c r="D113" s="108">
        <f t="shared" ref="D113:M113" si="22">D102+D111</f>
        <v>4500</v>
      </c>
      <c r="E113" s="108">
        <f t="shared" si="22"/>
        <v>29000</v>
      </c>
      <c r="F113" s="108">
        <f t="shared" si="22"/>
        <v>24500</v>
      </c>
      <c r="G113" s="108">
        <f t="shared" si="22"/>
        <v>5800</v>
      </c>
      <c r="H113" s="108">
        <f t="shared" si="22"/>
        <v>5800</v>
      </c>
      <c r="I113" s="108">
        <f t="shared" si="22"/>
        <v>7300</v>
      </c>
      <c r="J113" s="108">
        <f t="shared" si="22"/>
        <v>5800</v>
      </c>
      <c r="K113" s="108">
        <f t="shared" si="22"/>
        <v>0</v>
      </c>
      <c r="L113" s="108">
        <f t="shared" si="22"/>
        <v>0</v>
      </c>
      <c r="M113" s="108">
        <f t="shared" si="22"/>
        <v>0</v>
      </c>
    </row>
    <row r="114" spans="1:13" ht="10" customHeight="1" x14ac:dyDescent="0.3">
      <c r="A114" s="18"/>
      <c r="B114" s="18"/>
      <c r="D114" s="21"/>
      <c r="E114" s="21"/>
      <c r="F114" s="21"/>
      <c r="G114" s="21"/>
      <c r="H114" s="21"/>
      <c r="I114" s="21"/>
      <c r="J114" s="21"/>
      <c r="K114" s="21"/>
      <c r="L114" s="21"/>
      <c r="M114" s="21"/>
    </row>
    <row r="115" spans="1:13" ht="28.5" customHeight="1" x14ac:dyDescent="0.35">
      <c r="A115" s="109" t="s">
        <v>23</v>
      </c>
      <c r="B115" s="18"/>
      <c r="D115" s="21"/>
      <c r="E115" s="21"/>
      <c r="F115" s="21"/>
      <c r="G115" s="21"/>
      <c r="H115" s="21"/>
      <c r="I115" s="21"/>
      <c r="J115" s="21"/>
      <c r="K115" s="21"/>
      <c r="L115" s="21"/>
      <c r="M115" s="21"/>
    </row>
    <row r="116" spans="1:13" x14ac:dyDescent="0.3">
      <c r="A116" s="58" t="s">
        <v>202</v>
      </c>
      <c r="C116" s="11"/>
    </row>
    <row r="117" spans="1:13" x14ac:dyDescent="0.3">
      <c r="A117" s="58" t="s">
        <v>203</v>
      </c>
      <c r="C117" s="11"/>
    </row>
    <row r="118" spans="1:13" x14ac:dyDescent="0.3">
      <c r="A118" s="58" t="s">
        <v>204</v>
      </c>
      <c r="C118" s="11"/>
    </row>
    <row r="119" spans="1:13" x14ac:dyDescent="0.3">
      <c r="A119" s="92" t="s">
        <v>205</v>
      </c>
      <c r="C119" s="11"/>
    </row>
    <row r="120" spans="1:13" x14ac:dyDescent="0.3">
      <c r="A120" s="92" t="s">
        <v>206</v>
      </c>
      <c r="C120" s="11"/>
    </row>
    <row r="121" spans="1:13" x14ac:dyDescent="0.3">
      <c r="A121" s="58" t="s">
        <v>207</v>
      </c>
      <c r="C121" s="11"/>
    </row>
    <row r="122" spans="1:13" x14ac:dyDescent="0.3">
      <c r="A122" s="56" t="s">
        <v>24</v>
      </c>
      <c r="B122" s="56" t="s">
        <v>54</v>
      </c>
      <c r="C122" s="33"/>
      <c r="D122" s="57">
        <f>1/6*150%</f>
        <v>0.25</v>
      </c>
      <c r="E122" s="57">
        <f>D122</f>
        <v>0.25</v>
      </c>
      <c r="F122" s="57">
        <f t="shared" ref="F122:M122" si="23">E122</f>
        <v>0.25</v>
      </c>
      <c r="G122" s="57">
        <f t="shared" si="23"/>
        <v>0.25</v>
      </c>
      <c r="H122" s="57">
        <f t="shared" si="23"/>
        <v>0.25</v>
      </c>
      <c r="I122" s="57">
        <f t="shared" si="23"/>
        <v>0.25</v>
      </c>
      <c r="J122" s="57">
        <f t="shared" si="23"/>
        <v>0.25</v>
      </c>
      <c r="K122" s="57">
        <f t="shared" si="23"/>
        <v>0.25</v>
      </c>
      <c r="L122" s="57">
        <f t="shared" si="23"/>
        <v>0.25</v>
      </c>
      <c r="M122" s="57">
        <f t="shared" si="23"/>
        <v>0.25</v>
      </c>
    </row>
    <row r="123" spans="1:13" x14ac:dyDescent="0.3">
      <c r="C123" s="33"/>
      <c r="D123" s="33"/>
      <c r="E123" s="33"/>
      <c r="F123" s="33"/>
      <c r="G123" s="33"/>
      <c r="H123" s="33"/>
      <c r="I123" s="33"/>
      <c r="J123" s="33"/>
      <c r="K123" s="33"/>
      <c r="L123" s="33"/>
      <c r="M123" s="33"/>
    </row>
    <row r="124" spans="1:13" x14ac:dyDescent="0.3">
      <c r="A124" s="58" t="s">
        <v>201</v>
      </c>
      <c r="C124" s="11"/>
    </row>
    <row r="125" spans="1:13" x14ac:dyDescent="0.3">
      <c r="A125" s="92" t="s">
        <v>185</v>
      </c>
      <c r="B125" s="18"/>
      <c r="D125" s="21"/>
      <c r="E125" s="21"/>
      <c r="F125" s="21"/>
      <c r="G125" s="21"/>
      <c r="H125" s="21"/>
      <c r="I125" s="21"/>
      <c r="J125" s="21"/>
      <c r="K125" s="21"/>
      <c r="L125" s="21"/>
      <c r="M125" s="21"/>
    </row>
    <row r="126" spans="1:13" s="161" customFormat="1" ht="13.5" thickBot="1" x14ac:dyDescent="0.35">
      <c r="A126" s="159" t="str">
        <f>'Results &amp; Common Inputs'!A$33</f>
        <v xml:space="preserve">Inflation rate </v>
      </c>
      <c r="B126" s="159" t="str">
        <f>'Results &amp; Common Inputs'!B$33</f>
        <v>% Real</v>
      </c>
      <c r="C126" s="159"/>
      <c r="D126" s="160">
        <f>'Results &amp; Common Inputs'!D$33</f>
        <v>0.02</v>
      </c>
      <c r="E126" s="160">
        <f>'Results &amp; Common Inputs'!E$33</f>
        <v>0.02</v>
      </c>
      <c r="F126" s="160">
        <f>'Results &amp; Common Inputs'!F$33</f>
        <v>0.02</v>
      </c>
      <c r="G126" s="160">
        <f>'Results &amp; Common Inputs'!G$33</f>
        <v>0.02</v>
      </c>
      <c r="H126" s="160">
        <f>'Results &amp; Common Inputs'!H$33</f>
        <v>0.02</v>
      </c>
      <c r="I126" s="160">
        <f>'Results &amp; Common Inputs'!I$33</f>
        <v>0.02</v>
      </c>
      <c r="J126" s="160">
        <f>'Results &amp; Common Inputs'!J$33</f>
        <v>0.02</v>
      </c>
      <c r="K126" s="160">
        <f>'Results &amp; Common Inputs'!K$33</f>
        <v>0.02</v>
      </c>
      <c r="L126" s="160">
        <f>'Results &amp; Common Inputs'!L$33</f>
        <v>0.02</v>
      </c>
      <c r="M126" s="160">
        <f>'Results &amp; Common Inputs'!M$33</f>
        <v>0.02</v>
      </c>
    </row>
    <row r="127" spans="1:13" s="65" customFormat="1" ht="13.5" thickBot="1" x14ac:dyDescent="0.35">
      <c r="A127" s="65" t="s">
        <v>119</v>
      </c>
      <c r="C127" s="66"/>
      <c r="D127" s="69">
        <f>(1+D126)^0.5</f>
        <v>1.0099504938362078</v>
      </c>
      <c r="E127" s="67">
        <f>D127*(1+E126)</f>
        <v>1.030149503712932</v>
      </c>
      <c r="F127" s="67">
        <f t="shared" ref="F127:M127" si="24">E127*(1+F126)</f>
        <v>1.0507524937871906</v>
      </c>
      <c r="G127" s="67">
        <f t="shared" si="24"/>
        <v>1.0717675436629344</v>
      </c>
      <c r="H127" s="67">
        <f t="shared" si="24"/>
        <v>1.0932028945361931</v>
      </c>
      <c r="I127" s="67">
        <f t="shared" si="24"/>
        <v>1.115066952426917</v>
      </c>
      <c r="J127" s="67">
        <f t="shared" si="24"/>
        <v>1.1373682914754553</v>
      </c>
      <c r="K127" s="67">
        <f t="shared" si="24"/>
        <v>1.1601156573049645</v>
      </c>
      <c r="L127" s="67">
        <f t="shared" si="24"/>
        <v>1.1833179704510637</v>
      </c>
      <c r="M127" s="67">
        <f t="shared" si="24"/>
        <v>1.2069843298600851</v>
      </c>
    </row>
    <row r="128" spans="1:13" s="144" customFormat="1" x14ac:dyDescent="0.3">
      <c r="A128" s="144" t="s">
        <v>120</v>
      </c>
      <c r="B128" s="144" t="s">
        <v>192</v>
      </c>
      <c r="C128" s="71">
        <f>SUM(D128:M128)</f>
        <v>87456.102312553194</v>
      </c>
      <c r="D128" s="71">
        <f>D113*D127</f>
        <v>4544.7772222629355</v>
      </c>
      <c r="E128" s="71">
        <f t="shared" ref="E128:M128" si="25">E113*E127</f>
        <v>29874.335607675028</v>
      </c>
      <c r="F128" s="71">
        <f t="shared" si="25"/>
        <v>25743.436097786169</v>
      </c>
      <c r="G128" s="71">
        <f t="shared" si="25"/>
        <v>6216.2517532450192</v>
      </c>
      <c r="H128" s="71">
        <f t="shared" si="25"/>
        <v>6340.5767883099197</v>
      </c>
      <c r="I128" s="71">
        <f t="shared" si="25"/>
        <v>8139.9887527164938</v>
      </c>
      <c r="J128" s="71">
        <f t="shared" si="25"/>
        <v>6596.7360905576406</v>
      </c>
      <c r="K128" s="71">
        <f t="shared" si="25"/>
        <v>0</v>
      </c>
      <c r="L128" s="71">
        <f t="shared" si="25"/>
        <v>0</v>
      </c>
      <c r="M128" s="71">
        <f t="shared" si="25"/>
        <v>0</v>
      </c>
    </row>
    <row r="129" spans="1:13" ht="13.5" thickBot="1" x14ac:dyDescent="0.35">
      <c r="A129" s="92" t="s">
        <v>208</v>
      </c>
      <c r="C129" s="33"/>
      <c r="D129" s="33"/>
      <c r="E129" s="33"/>
      <c r="F129" s="33"/>
      <c r="G129" s="33"/>
      <c r="H129" s="33"/>
      <c r="I129" s="33"/>
      <c r="J129" s="33"/>
      <c r="K129" s="33"/>
      <c r="L129" s="33"/>
      <c r="M129" s="33"/>
    </row>
    <row r="130" spans="1:13" s="65" customFormat="1" ht="13.5" thickBot="1" x14ac:dyDescent="0.35">
      <c r="A130" s="65" t="s">
        <v>55</v>
      </c>
      <c r="B130" s="65" t="s">
        <v>192</v>
      </c>
      <c r="C130" s="68"/>
      <c r="D130" s="162">
        <v>12</v>
      </c>
      <c r="E130" s="68">
        <f>D134</f>
        <v>4556.7772222629355</v>
      </c>
      <c r="F130" s="68">
        <f t="shared" ref="F130:M130" si="26">E134</f>
        <v>34431.112829937963</v>
      </c>
      <c r="G130" s="68">
        <f t="shared" si="26"/>
        <v>60174.548927724129</v>
      </c>
      <c r="H130" s="68">
        <f t="shared" si="26"/>
        <v>49793.100510726857</v>
      </c>
      <c r="I130" s="68">
        <f t="shared" si="26"/>
        <v>42100.257974277585</v>
      </c>
      <c r="J130" s="68">
        <f t="shared" si="26"/>
        <v>37680.185045245562</v>
      </c>
      <c r="K130" s="68">
        <f t="shared" si="26"/>
        <v>0</v>
      </c>
      <c r="L130" s="68">
        <f t="shared" si="26"/>
        <v>0</v>
      </c>
      <c r="M130" s="68">
        <f t="shared" si="26"/>
        <v>0</v>
      </c>
    </row>
    <row r="131" spans="1:13" s="65" customFormat="1" x14ac:dyDescent="0.3">
      <c r="A131" s="65" t="s">
        <v>70</v>
      </c>
      <c r="B131" s="65" t="s">
        <v>192</v>
      </c>
      <c r="C131" s="68">
        <f>SUM(D131:M131)</f>
        <v>87456.102312553194</v>
      </c>
      <c r="D131" s="68">
        <f>D128</f>
        <v>4544.7772222629355</v>
      </c>
      <c r="E131" s="68">
        <f t="shared" ref="E131:M131" si="27">E128</f>
        <v>29874.335607675028</v>
      </c>
      <c r="F131" s="68">
        <f t="shared" si="27"/>
        <v>25743.436097786169</v>
      </c>
      <c r="G131" s="68">
        <f t="shared" si="27"/>
        <v>6216.2517532450192</v>
      </c>
      <c r="H131" s="68">
        <f t="shared" si="27"/>
        <v>6340.5767883099197</v>
      </c>
      <c r="I131" s="68">
        <f t="shared" si="27"/>
        <v>8139.9887527164938</v>
      </c>
      <c r="J131" s="68">
        <f t="shared" si="27"/>
        <v>6596.7360905576406</v>
      </c>
      <c r="K131" s="68">
        <f t="shared" si="27"/>
        <v>0</v>
      </c>
      <c r="L131" s="68">
        <f t="shared" si="27"/>
        <v>0</v>
      </c>
      <c r="M131" s="68">
        <f t="shared" si="27"/>
        <v>0</v>
      </c>
    </row>
    <row r="132" spans="1:13" s="65" customFormat="1" x14ac:dyDescent="0.3">
      <c r="A132" s="65" t="s">
        <v>56</v>
      </c>
      <c r="B132" s="65" t="s">
        <v>192</v>
      </c>
      <c r="C132" s="68"/>
      <c r="D132" s="68">
        <f t="shared" ref="D132:M132" si="28">D130+D131</f>
        <v>4556.7772222629355</v>
      </c>
      <c r="E132" s="68">
        <f t="shared" si="28"/>
        <v>34431.112829937963</v>
      </c>
      <c r="F132" s="68">
        <f t="shared" si="28"/>
        <v>60174.548927724129</v>
      </c>
      <c r="G132" s="68">
        <f t="shared" si="28"/>
        <v>66390.800680969143</v>
      </c>
      <c r="H132" s="68">
        <f t="shared" si="28"/>
        <v>56133.677299036775</v>
      </c>
      <c r="I132" s="68">
        <f t="shared" si="28"/>
        <v>50240.246726994083</v>
      </c>
      <c r="J132" s="68">
        <f t="shared" si="28"/>
        <v>44276.921135803204</v>
      </c>
      <c r="K132" s="68">
        <f t="shared" si="28"/>
        <v>0</v>
      </c>
      <c r="L132" s="68">
        <f t="shared" si="28"/>
        <v>0</v>
      </c>
      <c r="M132" s="68">
        <f t="shared" si="28"/>
        <v>0</v>
      </c>
    </row>
    <row r="133" spans="1:13" s="72" customFormat="1" x14ac:dyDescent="0.3">
      <c r="A133" s="70" t="s">
        <v>209</v>
      </c>
      <c r="B133" s="65" t="s">
        <v>192</v>
      </c>
      <c r="C133" s="71">
        <f>SUM(D133:M133)</f>
        <v>87468.102312553208</v>
      </c>
      <c r="D133" s="71">
        <f t="shared" ref="D133:M133" si="29">IF(D81=0,0,IF(AND(D81&gt;0,E81=0),D132,D132*D122))</f>
        <v>0</v>
      </c>
      <c r="E133" s="71">
        <f t="shared" si="29"/>
        <v>0</v>
      </c>
      <c r="F133" s="71">
        <f t="shared" si="29"/>
        <v>0</v>
      </c>
      <c r="G133" s="71">
        <f t="shared" si="29"/>
        <v>16597.700170242286</v>
      </c>
      <c r="H133" s="71">
        <f t="shared" si="29"/>
        <v>14033.419324759194</v>
      </c>
      <c r="I133" s="71">
        <f t="shared" si="29"/>
        <v>12560.061681748521</v>
      </c>
      <c r="J133" s="71">
        <f t="shared" si="29"/>
        <v>44276.921135803204</v>
      </c>
      <c r="K133" s="71">
        <f t="shared" si="29"/>
        <v>0</v>
      </c>
      <c r="L133" s="71">
        <f t="shared" si="29"/>
        <v>0</v>
      </c>
      <c r="M133" s="71">
        <f t="shared" si="29"/>
        <v>0</v>
      </c>
    </row>
    <row r="134" spans="1:13" s="65" customFormat="1" x14ac:dyDescent="0.3">
      <c r="A134" s="65" t="s">
        <v>57</v>
      </c>
      <c r="B134" s="65" t="s">
        <v>192</v>
      </c>
      <c r="C134" s="68"/>
      <c r="D134" s="68">
        <f t="shared" ref="D134:M134" si="30">D132-D133</f>
        <v>4556.7772222629355</v>
      </c>
      <c r="E134" s="68">
        <f t="shared" si="30"/>
        <v>34431.112829937963</v>
      </c>
      <c r="F134" s="68">
        <f t="shared" si="30"/>
        <v>60174.548927724129</v>
      </c>
      <c r="G134" s="68">
        <f t="shared" si="30"/>
        <v>49793.100510726857</v>
      </c>
      <c r="H134" s="68">
        <f t="shared" si="30"/>
        <v>42100.257974277585</v>
      </c>
      <c r="I134" s="68">
        <f t="shared" si="30"/>
        <v>37680.185045245562</v>
      </c>
      <c r="J134" s="68">
        <f t="shared" si="30"/>
        <v>0</v>
      </c>
      <c r="K134" s="68">
        <f t="shared" si="30"/>
        <v>0</v>
      </c>
      <c r="L134" s="68">
        <f t="shared" si="30"/>
        <v>0</v>
      </c>
      <c r="M134" s="68">
        <f t="shared" si="30"/>
        <v>0</v>
      </c>
    </row>
    <row r="135" spans="1:13" x14ac:dyDescent="0.3">
      <c r="C135" s="17"/>
      <c r="D135" s="32"/>
      <c r="E135" s="32"/>
      <c r="F135" s="32"/>
      <c r="G135" s="32"/>
      <c r="H135" s="32"/>
      <c r="I135" s="32"/>
      <c r="J135" s="32"/>
      <c r="K135" s="32"/>
      <c r="L135" s="32"/>
      <c r="M135" s="32"/>
    </row>
    <row r="136" spans="1:13" ht="15.5" x14ac:dyDescent="0.35">
      <c r="A136" s="107" t="s">
        <v>210</v>
      </c>
      <c r="B136" s="17" t="s">
        <v>124</v>
      </c>
      <c r="C136" s="155">
        <f>SUM(D136:M136)</f>
        <v>78516.489679065227</v>
      </c>
      <c r="D136" s="108">
        <f>D133/D127</f>
        <v>0</v>
      </c>
      <c r="E136" s="108">
        <f t="shared" ref="E136:M136" si="31">E133/E127</f>
        <v>0</v>
      </c>
      <c r="F136" s="108">
        <f t="shared" si="31"/>
        <v>0</v>
      </c>
      <c r="G136" s="108">
        <f t="shared" si="31"/>
        <v>15486.287365557862</v>
      </c>
      <c r="H136" s="108">
        <f t="shared" si="31"/>
        <v>12836.976004086662</v>
      </c>
      <c r="I136" s="108">
        <f t="shared" si="31"/>
        <v>11263.952944181372</v>
      </c>
      <c r="J136" s="108">
        <f t="shared" si="31"/>
        <v>38929.273365239329</v>
      </c>
      <c r="K136" s="108">
        <f t="shared" si="31"/>
        <v>0</v>
      </c>
      <c r="L136" s="108">
        <f t="shared" si="31"/>
        <v>0</v>
      </c>
      <c r="M136" s="108">
        <f t="shared" si="31"/>
        <v>0</v>
      </c>
    </row>
    <row r="137" spans="1:13" x14ac:dyDescent="0.3">
      <c r="A137" s="73" t="s">
        <v>121</v>
      </c>
      <c r="B137" s="17" t="s">
        <v>124</v>
      </c>
      <c r="C137" s="36">
        <f>C113+D130-C136</f>
        <v>4195.5103209347726</v>
      </c>
      <c r="D137" s="21"/>
      <c r="E137" s="21"/>
      <c r="F137" s="21"/>
      <c r="G137" s="21"/>
      <c r="H137" s="21"/>
      <c r="I137" s="21"/>
      <c r="J137" s="21"/>
      <c r="K137" s="21"/>
      <c r="L137" s="21"/>
      <c r="M137" s="21"/>
    </row>
    <row r="138" spans="1:13" ht="20" customHeight="1" x14ac:dyDescent="0.3">
      <c r="A138" s="73"/>
      <c r="C138" s="36"/>
      <c r="D138" s="21"/>
      <c r="E138" s="21"/>
      <c r="F138" s="21"/>
      <c r="G138" s="21"/>
      <c r="H138" s="21"/>
      <c r="I138" s="21"/>
      <c r="J138" s="21"/>
      <c r="K138" s="21"/>
      <c r="L138" s="21"/>
      <c r="M138" s="21"/>
    </row>
    <row r="139" spans="1:13" s="183" customFormat="1" ht="27.5" customHeight="1" x14ac:dyDescent="0.35">
      <c r="A139" s="180" t="str">
        <f>'Results &amp; Common Inputs'!A$28</f>
        <v>Life of Business</v>
      </c>
      <c r="B139" s="180" t="str">
        <f>'Results &amp; Common Inputs'!B$28</f>
        <v>units</v>
      </c>
      <c r="C139" s="181" t="str">
        <f>'Results &amp; Common Inputs'!C$28</f>
        <v>Total</v>
      </c>
      <c r="D139" s="182">
        <f>'Results &amp; Common Inputs'!D$28</f>
        <v>2026</v>
      </c>
      <c r="E139" s="182">
        <f>'Results &amp; Common Inputs'!E$28</f>
        <v>2027</v>
      </c>
      <c r="F139" s="182">
        <f>'Results &amp; Common Inputs'!F$28</f>
        <v>2028</v>
      </c>
      <c r="G139" s="182">
        <f>'Results &amp; Common Inputs'!G$28</f>
        <v>2029</v>
      </c>
      <c r="H139" s="182">
        <f>'Results &amp; Common Inputs'!H$28</f>
        <v>2030</v>
      </c>
      <c r="I139" s="182">
        <f>'Results &amp; Common Inputs'!I$28</f>
        <v>2031</v>
      </c>
      <c r="J139" s="182">
        <f>'Results &amp; Common Inputs'!J$28</f>
        <v>2032</v>
      </c>
      <c r="K139" s="182">
        <f>'Results &amp; Common Inputs'!K$28</f>
        <v>2033</v>
      </c>
      <c r="L139" s="182">
        <f>'Results &amp; Common Inputs'!L$28</f>
        <v>2034</v>
      </c>
      <c r="M139" s="182">
        <f>'Results &amp; Common Inputs'!M$28</f>
        <v>2035</v>
      </c>
    </row>
    <row r="140" spans="1:13" s="63" customFormat="1" ht="43.75" customHeight="1" x14ac:dyDescent="0.35">
      <c r="A140" s="98" t="s">
        <v>25</v>
      </c>
      <c r="C140" s="64"/>
      <c r="D140" s="64"/>
      <c r="E140" s="64"/>
      <c r="F140" s="64"/>
      <c r="G140" s="64"/>
      <c r="H140" s="64"/>
      <c r="I140" s="64"/>
      <c r="J140" s="64"/>
      <c r="K140" s="64"/>
      <c r="L140" s="64"/>
      <c r="M140" s="64"/>
    </row>
    <row r="141" spans="1:13" x14ac:dyDescent="0.3">
      <c r="A141" s="58" t="s">
        <v>216</v>
      </c>
      <c r="B141" s="18"/>
      <c r="D141" s="21"/>
      <c r="E141" s="21"/>
      <c r="F141" s="21"/>
      <c r="G141" s="21"/>
      <c r="H141" s="21"/>
      <c r="I141" s="21"/>
      <c r="J141" s="21"/>
      <c r="K141" s="21"/>
      <c r="L141" s="21"/>
      <c r="M141" s="21"/>
    </row>
    <row r="142" spans="1:13" x14ac:dyDescent="0.3">
      <c r="A142" s="58" t="s">
        <v>217</v>
      </c>
      <c r="B142" s="18"/>
      <c r="D142" s="21"/>
      <c r="E142" s="21"/>
      <c r="F142" s="21"/>
      <c r="G142" s="21"/>
      <c r="H142" s="21"/>
      <c r="I142" s="21"/>
      <c r="J142" s="21"/>
      <c r="K142" s="21"/>
      <c r="L142" s="21"/>
      <c r="M142" s="21"/>
    </row>
    <row r="143" spans="1:13" x14ac:dyDescent="0.3">
      <c r="A143" s="58" t="s">
        <v>218</v>
      </c>
      <c r="B143" s="18"/>
      <c r="D143" s="21"/>
      <c r="E143" s="21"/>
      <c r="F143" s="21"/>
      <c r="G143" s="21"/>
      <c r="H143" s="21"/>
      <c r="I143" s="21"/>
      <c r="J143" s="21"/>
      <c r="K143" s="21"/>
      <c r="L143" s="21"/>
      <c r="M143" s="21"/>
    </row>
    <row r="144" spans="1:13" x14ac:dyDescent="0.3">
      <c r="A144" s="58"/>
      <c r="B144" s="18"/>
      <c r="D144" s="21"/>
      <c r="E144" s="21"/>
      <c r="F144" s="21"/>
      <c r="G144" s="21"/>
      <c r="H144" s="21"/>
      <c r="I144" s="21"/>
      <c r="J144" s="21"/>
      <c r="K144" s="21"/>
      <c r="L144" s="21"/>
      <c r="M144" s="21"/>
    </row>
    <row r="145" spans="1:13" x14ac:dyDescent="0.3">
      <c r="A145" s="31" t="s">
        <v>65</v>
      </c>
      <c r="B145" s="18"/>
      <c r="D145" s="21"/>
      <c r="E145" s="21"/>
      <c r="F145" s="21"/>
      <c r="G145" s="21"/>
      <c r="H145" s="21"/>
      <c r="I145" s="21"/>
      <c r="J145" s="21"/>
      <c r="K145" s="21"/>
      <c r="L145" s="21"/>
      <c r="M145" s="21"/>
    </row>
    <row r="146" spans="1:13" x14ac:dyDescent="0.3">
      <c r="A146" s="92" t="s">
        <v>247</v>
      </c>
      <c r="B146" s="18"/>
      <c r="D146" s="21"/>
      <c r="E146" s="21"/>
      <c r="F146" s="21"/>
      <c r="G146" s="21"/>
      <c r="H146" s="21"/>
      <c r="I146" s="21"/>
      <c r="J146" s="21"/>
      <c r="K146" s="21"/>
      <c r="L146" s="21"/>
      <c r="M146" s="21"/>
    </row>
    <row r="147" spans="1:13" s="35" customFormat="1" x14ac:dyDescent="0.3">
      <c r="A147" s="35" t="str">
        <f>A67</f>
        <v>Waste removed</v>
      </c>
      <c r="B147" s="35" t="str">
        <f>B67</f>
        <v>000 dry tonnes</v>
      </c>
      <c r="C147" s="33">
        <f>SUM(D147:M147)</f>
        <v>2900</v>
      </c>
      <c r="D147" s="33">
        <f t="shared" ref="D147:M147" si="32">D67</f>
        <v>0</v>
      </c>
      <c r="E147" s="33">
        <f t="shared" si="32"/>
        <v>0</v>
      </c>
      <c r="F147" s="33">
        <f t="shared" si="32"/>
        <v>800</v>
      </c>
      <c r="G147" s="33">
        <f t="shared" si="32"/>
        <v>600</v>
      </c>
      <c r="H147" s="33">
        <f t="shared" si="32"/>
        <v>600</v>
      </c>
      <c r="I147" s="33">
        <f t="shared" si="32"/>
        <v>600</v>
      </c>
      <c r="J147" s="33">
        <f t="shared" si="32"/>
        <v>300</v>
      </c>
      <c r="K147" s="33">
        <f t="shared" si="32"/>
        <v>0</v>
      </c>
      <c r="L147" s="33">
        <f t="shared" si="32"/>
        <v>0</v>
      </c>
      <c r="M147" s="33">
        <f t="shared" si="32"/>
        <v>0</v>
      </c>
    </row>
    <row r="148" spans="1:13" s="124" customFormat="1" x14ac:dyDescent="0.3">
      <c r="A148" s="121" t="s">
        <v>61</v>
      </c>
      <c r="B148" s="121" t="s">
        <v>193</v>
      </c>
      <c r="C148" s="123"/>
      <c r="D148" s="123"/>
      <c r="E148" s="123"/>
      <c r="F148" s="125">
        <v>4</v>
      </c>
      <c r="G148" s="125">
        <f>F148</f>
        <v>4</v>
      </c>
      <c r="H148" s="125">
        <f t="shared" ref="H148:M148" si="33">G148</f>
        <v>4</v>
      </c>
      <c r="I148" s="125">
        <f t="shared" si="33"/>
        <v>4</v>
      </c>
      <c r="J148" s="125">
        <f t="shared" si="33"/>
        <v>4</v>
      </c>
      <c r="K148" s="125">
        <f t="shared" si="33"/>
        <v>4</v>
      </c>
      <c r="L148" s="125">
        <f t="shared" si="33"/>
        <v>4</v>
      </c>
      <c r="M148" s="125">
        <f t="shared" si="33"/>
        <v>4</v>
      </c>
    </row>
    <row r="149" spans="1:13" s="35" customFormat="1" x14ac:dyDescent="0.3">
      <c r="A149" s="35" t="s">
        <v>62</v>
      </c>
      <c r="B149" s="17" t="s">
        <v>124</v>
      </c>
      <c r="C149" s="33">
        <f>SUM(D149:M149)</f>
        <v>11600</v>
      </c>
      <c r="D149" s="33">
        <f>D147*D148</f>
        <v>0</v>
      </c>
      <c r="E149" s="33">
        <f t="shared" ref="E149:M149" si="34">E147*E148</f>
        <v>0</v>
      </c>
      <c r="F149" s="33">
        <f t="shared" si="34"/>
        <v>3200</v>
      </c>
      <c r="G149" s="33">
        <f t="shared" si="34"/>
        <v>2400</v>
      </c>
      <c r="H149" s="33">
        <f t="shared" si="34"/>
        <v>2400</v>
      </c>
      <c r="I149" s="33">
        <f t="shared" si="34"/>
        <v>2400</v>
      </c>
      <c r="J149" s="33">
        <f t="shared" si="34"/>
        <v>1200</v>
      </c>
      <c r="K149" s="33">
        <f t="shared" si="34"/>
        <v>0</v>
      </c>
      <c r="L149" s="33">
        <f t="shared" si="34"/>
        <v>0</v>
      </c>
      <c r="M149" s="33">
        <f t="shared" si="34"/>
        <v>0</v>
      </c>
    </row>
    <row r="150" spans="1:13" ht="9.65" customHeight="1" x14ac:dyDescent="0.3">
      <c r="A150" s="23"/>
      <c r="C150" s="11"/>
    </row>
    <row r="151" spans="1:13" s="35" customFormat="1" x14ac:dyDescent="0.3">
      <c r="A151" s="35" t="str">
        <f>A68</f>
        <v>Ore production</v>
      </c>
      <c r="B151" s="35" t="str">
        <f>B68</f>
        <v>000 dry tonnes</v>
      </c>
      <c r="C151" s="33">
        <f>SUM(D151:M151)</f>
        <v>1700</v>
      </c>
      <c r="D151" s="33">
        <f t="shared" ref="D151:M151" si="35">D68</f>
        <v>0</v>
      </c>
      <c r="E151" s="33">
        <f t="shared" si="35"/>
        <v>0</v>
      </c>
      <c r="F151" s="33">
        <f t="shared" si="35"/>
        <v>0</v>
      </c>
      <c r="G151" s="33">
        <f t="shared" si="35"/>
        <v>400</v>
      </c>
      <c r="H151" s="33">
        <f t="shared" si="35"/>
        <v>500</v>
      </c>
      <c r="I151" s="33">
        <f t="shared" si="35"/>
        <v>500</v>
      </c>
      <c r="J151" s="33">
        <f t="shared" si="35"/>
        <v>300</v>
      </c>
      <c r="K151" s="33">
        <f t="shared" si="35"/>
        <v>0</v>
      </c>
      <c r="L151" s="33">
        <f t="shared" si="35"/>
        <v>0</v>
      </c>
      <c r="M151" s="33">
        <f t="shared" si="35"/>
        <v>0</v>
      </c>
    </row>
    <row r="152" spans="1:13" s="124" customFormat="1" x14ac:dyDescent="0.3">
      <c r="A152" s="121" t="s">
        <v>26</v>
      </c>
      <c r="B152" s="121" t="s">
        <v>193</v>
      </c>
      <c r="C152" s="123"/>
      <c r="D152" s="123"/>
      <c r="E152" s="123"/>
      <c r="F152" s="125"/>
      <c r="G152" s="125">
        <v>5</v>
      </c>
      <c r="H152" s="125">
        <v>6</v>
      </c>
      <c r="I152" s="125">
        <v>7</v>
      </c>
      <c r="J152" s="125">
        <v>7</v>
      </c>
      <c r="K152" s="125">
        <v>7</v>
      </c>
      <c r="L152" s="125">
        <v>7.5</v>
      </c>
      <c r="M152" s="125"/>
    </row>
    <row r="153" spans="1:13" s="35" customFormat="1" x14ac:dyDescent="0.3">
      <c r="A153" s="35" t="s">
        <v>63</v>
      </c>
      <c r="B153" s="17" t="s">
        <v>124</v>
      </c>
      <c r="C153" s="33">
        <f>SUM(D153:M153)</f>
        <v>10600</v>
      </c>
      <c r="D153" s="33">
        <f>D151*D152</f>
        <v>0</v>
      </c>
      <c r="E153" s="33">
        <f t="shared" ref="E153:M153" si="36">E151*E152</f>
        <v>0</v>
      </c>
      <c r="F153" s="33">
        <f t="shared" si="36"/>
        <v>0</v>
      </c>
      <c r="G153" s="33">
        <f t="shared" si="36"/>
        <v>2000</v>
      </c>
      <c r="H153" s="33">
        <f t="shared" si="36"/>
        <v>3000</v>
      </c>
      <c r="I153" s="33">
        <f t="shared" si="36"/>
        <v>3500</v>
      </c>
      <c r="J153" s="33">
        <f t="shared" si="36"/>
        <v>2100</v>
      </c>
      <c r="K153" s="33">
        <f t="shared" si="36"/>
        <v>0</v>
      </c>
      <c r="L153" s="33">
        <f t="shared" si="36"/>
        <v>0</v>
      </c>
      <c r="M153" s="33">
        <f t="shared" si="36"/>
        <v>0</v>
      </c>
    </row>
    <row r="154" spans="1:13" ht="9.65" customHeight="1" x14ac:dyDescent="0.3">
      <c r="A154" s="23"/>
      <c r="C154" s="11"/>
    </row>
    <row r="155" spans="1:13" s="124" customFormat="1" x14ac:dyDescent="0.3">
      <c r="A155" s="121" t="s">
        <v>80</v>
      </c>
      <c r="B155" s="121" t="s">
        <v>194</v>
      </c>
      <c r="C155" s="123"/>
      <c r="D155" s="123">
        <v>4500</v>
      </c>
      <c r="E155" s="123">
        <f>D155</f>
        <v>4500</v>
      </c>
      <c r="F155" s="123">
        <f t="shared" ref="F155:M155" si="37">E155</f>
        <v>4500</v>
      </c>
      <c r="G155" s="123">
        <f t="shared" si="37"/>
        <v>4500</v>
      </c>
      <c r="H155" s="123">
        <f t="shared" si="37"/>
        <v>4500</v>
      </c>
      <c r="I155" s="123">
        <f t="shared" si="37"/>
        <v>4500</v>
      </c>
      <c r="J155" s="123">
        <f t="shared" si="37"/>
        <v>4500</v>
      </c>
      <c r="K155" s="123">
        <f t="shared" si="37"/>
        <v>4500</v>
      </c>
      <c r="L155" s="123">
        <f t="shared" si="37"/>
        <v>4500</v>
      </c>
      <c r="M155" s="123">
        <f t="shared" si="37"/>
        <v>4500</v>
      </c>
    </row>
    <row r="156" spans="1:13" s="35" customFormat="1" x14ac:dyDescent="0.3">
      <c r="A156" s="35" t="s">
        <v>81</v>
      </c>
      <c r="B156" s="17" t="s">
        <v>124</v>
      </c>
      <c r="C156" s="33">
        <f>SUM(D156:M156)</f>
        <v>18000</v>
      </c>
      <c r="D156" s="33">
        <f t="shared" ref="D156:M156" si="38">IF(D68=0,0,D155)</f>
        <v>0</v>
      </c>
      <c r="E156" s="33">
        <f t="shared" si="38"/>
        <v>0</v>
      </c>
      <c r="F156" s="33">
        <f t="shared" si="38"/>
        <v>0</v>
      </c>
      <c r="G156" s="33">
        <f t="shared" si="38"/>
        <v>4500</v>
      </c>
      <c r="H156" s="33">
        <f t="shared" si="38"/>
        <v>4500</v>
      </c>
      <c r="I156" s="33">
        <f t="shared" si="38"/>
        <v>4500</v>
      </c>
      <c r="J156" s="33">
        <f t="shared" si="38"/>
        <v>4500</v>
      </c>
      <c r="K156" s="33">
        <f t="shared" si="38"/>
        <v>0</v>
      </c>
      <c r="L156" s="33">
        <f t="shared" si="38"/>
        <v>0</v>
      </c>
      <c r="M156" s="33">
        <f t="shared" si="38"/>
        <v>0</v>
      </c>
    </row>
    <row r="157" spans="1:13" s="35" customFormat="1" ht="6" customHeight="1" x14ac:dyDescent="0.3">
      <c r="C157" s="33"/>
      <c r="D157" s="33"/>
      <c r="E157" s="33"/>
      <c r="F157" s="33"/>
      <c r="G157" s="33"/>
      <c r="H157" s="33"/>
      <c r="I157" s="33"/>
      <c r="J157" s="33"/>
      <c r="K157" s="33"/>
      <c r="L157" s="33"/>
      <c r="M157" s="33"/>
    </row>
    <row r="158" spans="1:13" s="34" customFormat="1" x14ac:dyDescent="0.3">
      <c r="A158" s="34" t="s">
        <v>64</v>
      </c>
      <c r="B158" s="17" t="s">
        <v>124</v>
      </c>
      <c r="C158" s="32">
        <f>SUM(D158:M158)</f>
        <v>40200</v>
      </c>
      <c r="D158" s="79">
        <f t="shared" ref="D158:M158" si="39">D149+D153+D156</f>
        <v>0</v>
      </c>
      <c r="E158" s="79">
        <f t="shared" si="39"/>
        <v>0</v>
      </c>
      <c r="F158" s="79">
        <f t="shared" si="39"/>
        <v>3200</v>
      </c>
      <c r="G158" s="79">
        <f t="shared" si="39"/>
        <v>8900</v>
      </c>
      <c r="H158" s="79">
        <f t="shared" si="39"/>
        <v>9900</v>
      </c>
      <c r="I158" s="79">
        <f t="shared" si="39"/>
        <v>10400</v>
      </c>
      <c r="J158" s="79">
        <f t="shared" si="39"/>
        <v>7800</v>
      </c>
      <c r="K158" s="79">
        <f t="shared" si="39"/>
        <v>0</v>
      </c>
      <c r="L158" s="79">
        <f t="shared" si="39"/>
        <v>0</v>
      </c>
      <c r="M158" s="79">
        <f t="shared" si="39"/>
        <v>0</v>
      </c>
    </row>
    <row r="159" spans="1:13" s="35" customFormat="1" x14ac:dyDescent="0.3">
      <c r="A159" s="34"/>
      <c r="B159" s="34"/>
      <c r="C159" s="32"/>
      <c r="D159" s="32"/>
      <c r="E159" s="32"/>
      <c r="F159" s="32"/>
      <c r="G159" s="32"/>
      <c r="H159" s="32"/>
      <c r="I159" s="32"/>
      <c r="J159" s="32"/>
      <c r="K159" s="32"/>
      <c r="L159" s="32"/>
      <c r="M159" s="32"/>
    </row>
    <row r="160" spans="1:13" x14ac:dyDescent="0.3">
      <c r="A160" s="31" t="s">
        <v>66</v>
      </c>
      <c r="B160" s="18"/>
      <c r="D160" s="21"/>
      <c r="E160" s="21"/>
      <c r="F160" s="21"/>
      <c r="G160" s="21"/>
      <c r="H160" s="21"/>
      <c r="I160" s="21"/>
      <c r="J160" s="21"/>
      <c r="K160" s="21"/>
      <c r="L160" s="21"/>
      <c r="M160" s="21"/>
    </row>
    <row r="161" spans="1:13" x14ac:dyDescent="0.3">
      <c r="A161" s="92" t="s">
        <v>212</v>
      </c>
      <c r="C161" s="11"/>
    </row>
    <row r="162" spans="1:13" s="35" customFormat="1" x14ac:dyDescent="0.3">
      <c r="A162" s="35" t="str">
        <f>A68</f>
        <v>Ore production</v>
      </c>
      <c r="B162" s="35" t="str">
        <f>B68</f>
        <v>000 dry tonnes</v>
      </c>
      <c r="C162" s="33">
        <f>SUM(D162:M162)</f>
        <v>1700</v>
      </c>
      <c r="D162" s="33">
        <f t="shared" ref="D162:M162" si="40">D68</f>
        <v>0</v>
      </c>
      <c r="E162" s="33">
        <f t="shared" si="40"/>
        <v>0</v>
      </c>
      <c r="F162" s="33">
        <f t="shared" si="40"/>
        <v>0</v>
      </c>
      <c r="G162" s="33">
        <f t="shared" si="40"/>
        <v>400</v>
      </c>
      <c r="H162" s="33">
        <f t="shared" si="40"/>
        <v>500</v>
      </c>
      <c r="I162" s="33">
        <f t="shared" si="40"/>
        <v>500</v>
      </c>
      <c r="J162" s="33">
        <f t="shared" si="40"/>
        <v>300</v>
      </c>
      <c r="K162" s="33">
        <f t="shared" si="40"/>
        <v>0</v>
      </c>
      <c r="L162" s="33">
        <f t="shared" si="40"/>
        <v>0</v>
      </c>
      <c r="M162" s="33">
        <f t="shared" si="40"/>
        <v>0</v>
      </c>
    </row>
    <row r="163" spans="1:13" x14ac:dyDescent="0.3">
      <c r="A163" s="121" t="s">
        <v>92</v>
      </c>
      <c r="B163" s="121" t="s">
        <v>193</v>
      </c>
      <c r="C163" s="33"/>
      <c r="D163" s="123">
        <v>30</v>
      </c>
      <c r="E163" s="123">
        <f t="shared" ref="E163:M163" si="41">D163</f>
        <v>30</v>
      </c>
      <c r="F163" s="123">
        <f t="shared" si="41"/>
        <v>30</v>
      </c>
      <c r="G163" s="123">
        <f t="shared" si="41"/>
        <v>30</v>
      </c>
      <c r="H163" s="123">
        <f t="shared" si="41"/>
        <v>30</v>
      </c>
      <c r="I163" s="123">
        <f t="shared" si="41"/>
        <v>30</v>
      </c>
      <c r="J163" s="123">
        <f t="shared" si="41"/>
        <v>30</v>
      </c>
      <c r="K163" s="123">
        <f t="shared" si="41"/>
        <v>30</v>
      </c>
      <c r="L163" s="123">
        <f t="shared" si="41"/>
        <v>30</v>
      </c>
      <c r="M163" s="123">
        <f t="shared" si="41"/>
        <v>30</v>
      </c>
    </row>
    <row r="164" spans="1:13" s="35" customFormat="1" x14ac:dyDescent="0.3">
      <c r="A164" s="35" t="s">
        <v>91</v>
      </c>
      <c r="B164" s="17" t="s">
        <v>124</v>
      </c>
      <c r="C164" s="33">
        <f>SUM(D164:M164)</f>
        <v>51000</v>
      </c>
      <c r="D164" s="33">
        <f>D162*D163</f>
        <v>0</v>
      </c>
      <c r="E164" s="33">
        <f t="shared" ref="E164:M164" si="42">E162*E163</f>
        <v>0</v>
      </c>
      <c r="F164" s="33">
        <f t="shared" si="42"/>
        <v>0</v>
      </c>
      <c r="G164" s="33">
        <f t="shared" si="42"/>
        <v>12000</v>
      </c>
      <c r="H164" s="33">
        <f t="shared" si="42"/>
        <v>15000</v>
      </c>
      <c r="I164" s="33">
        <f t="shared" si="42"/>
        <v>15000</v>
      </c>
      <c r="J164" s="33">
        <f t="shared" si="42"/>
        <v>9000</v>
      </c>
      <c r="K164" s="33">
        <f t="shared" si="42"/>
        <v>0</v>
      </c>
      <c r="L164" s="33">
        <f t="shared" si="42"/>
        <v>0</v>
      </c>
      <c r="M164" s="33">
        <f t="shared" si="42"/>
        <v>0</v>
      </c>
    </row>
    <row r="165" spans="1:13" ht="9.65" customHeight="1" x14ac:dyDescent="0.3">
      <c r="A165" s="23"/>
      <c r="C165" s="11"/>
    </row>
    <row r="166" spans="1:13" s="35" customFormat="1" x14ac:dyDescent="0.3">
      <c r="A166" s="35" t="str">
        <f>A72</f>
        <v>Gold produced</v>
      </c>
      <c r="B166" s="35" t="str">
        <f>B72</f>
        <v>000 ounces</v>
      </c>
      <c r="C166" s="33">
        <f>SUM(D166:M166)</f>
        <v>162.07073954983923</v>
      </c>
      <c r="D166" s="33">
        <f t="shared" ref="D166:M166" si="43">D72</f>
        <v>0</v>
      </c>
      <c r="E166" s="33">
        <f t="shared" si="43"/>
        <v>0</v>
      </c>
      <c r="F166" s="33">
        <f t="shared" si="43"/>
        <v>0</v>
      </c>
      <c r="G166" s="33">
        <f t="shared" si="43"/>
        <v>33.09324758842444</v>
      </c>
      <c r="H166" s="33">
        <f t="shared" si="43"/>
        <v>48.81028938906752</v>
      </c>
      <c r="I166" s="33">
        <f t="shared" si="43"/>
        <v>47.331189710610929</v>
      </c>
      <c r="J166" s="33">
        <f t="shared" si="43"/>
        <v>32.836012861736336</v>
      </c>
      <c r="K166" s="33">
        <f t="shared" si="43"/>
        <v>0</v>
      </c>
      <c r="L166" s="33">
        <f t="shared" si="43"/>
        <v>0</v>
      </c>
      <c r="M166" s="33">
        <f t="shared" si="43"/>
        <v>0</v>
      </c>
    </row>
    <row r="167" spans="1:13" x14ac:dyDescent="0.3">
      <c r="A167" s="121" t="s">
        <v>122</v>
      </c>
      <c r="B167" s="121" t="s">
        <v>195</v>
      </c>
      <c r="C167" s="33"/>
      <c r="D167" s="123">
        <v>60</v>
      </c>
      <c r="E167" s="123">
        <f>D167</f>
        <v>60</v>
      </c>
      <c r="F167" s="123">
        <f t="shared" ref="F167:M167" si="44">E167</f>
        <v>60</v>
      </c>
      <c r="G167" s="123">
        <f t="shared" si="44"/>
        <v>60</v>
      </c>
      <c r="H167" s="123">
        <f t="shared" si="44"/>
        <v>60</v>
      </c>
      <c r="I167" s="123">
        <f t="shared" si="44"/>
        <v>60</v>
      </c>
      <c r="J167" s="123">
        <f t="shared" si="44"/>
        <v>60</v>
      </c>
      <c r="K167" s="123">
        <f t="shared" si="44"/>
        <v>60</v>
      </c>
      <c r="L167" s="123">
        <f t="shared" si="44"/>
        <v>60</v>
      </c>
      <c r="M167" s="123">
        <f t="shared" si="44"/>
        <v>60</v>
      </c>
    </row>
    <row r="168" spans="1:13" s="35" customFormat="1" x14ac:dyDescent="0.3">
      <c r="A168" s="35" t="s">
        <v>90</v>
      </c>
      <c r="B168" s="17" t="s">
        <v>124</v>
      </c>
      <c r="C168" s="33">
        <f>SUM(D168:M168)</f>
        <v>9724.2443729903534</v>
      </c>
      <c r="D168" s="33">
        <f>D166*D167</f>
        <v>0</v>
      </c>
      <c r="E168" s="33">
        <f t="shared" ref="E168:M168" si="45">E166*E167</f>
        <v>0</v>
      </c>
      <c r="F168" s="33">
        <f t="shared" si="45"/>
        <v>0</v>
      </c>
      <c r="G168" s="33">
        <f t="shared" si="45"/>
        <v>1985.5948553054664</v>
      </c>
      <c r="H168" s="33">
        <f t="shared" si="45"/>
        <v>2928.6173633440512</v>
      </c>
      <c r="I168" s="33">
        <f t="shared" si="45"/>
        <v>2839.8713826366557</v>
      </c>
      <c r="J168" s="33">
        <f t="shared" si="45"/>
        <v>1970.1607717041802</v>
      </c>
      <c r="K168" s="33">
        <f t="shared" si="45"/>
        <v>0</v>
      </c>
      <c r="L168" s="33">
        <f t="shared" si="45"/>
        <v>0</v>
      </c>
      <c r="M168" s="33">
        <f t="shared" si="45"/>
        <v>0</v>
      </c>
    </row>
    <row r="169" spans="1:13" ht="9.65" customHeight="1" x14ac:dyDescent="0.3">
      <c r="A169" s="23"/>
      <c r="C169" s="11"/>
    </row>
    <row r="170" spans="1:13" s="35" customFormat="1" x14ac:dyDescent="0.3">
      <c r="A170" s="35" t="s">
        <v>213</v>
      </c>
      <c r="C170" s="33"/>
      <c r="D170" s="33"/>
      <c r="E170" s="33"/>
      <c r="F170" s="33"/>
      <c r="G170" s="33"/>
      <c r="H170" s="33"/>
      <c r="I170" s="33"/>
      <c r="J170" s="33"/>
      <c r="K170" s="33"/>
      <c r="L170" s="33"/>
      <c r="M170" s="33"/>
    </row>
    <row r="171" spans="1:13" x14ac:dyDescent="0.3">
      <c r="A171" s="121" t="s">
        <v>93</v>
      </c>
      <c r="B171" s="121" t="s">
        <v>194</v>
      </c>
      <c r="C171" s="33"/>
      <c r="D171" s="123">
        <v>3000</v>
      </c>
      <c r="E171" s="123">
        <f>D171</f>
        <v>3000</v>
      </c>
      <c r="F171" s="123">
        <f t="shared" ref="F171:M171" si="46">E171</f>
        <v>3000</v>
      </c>
      <c r="G171" s="123">
        <f t="shared" si="46"/>
        <v>3000</v>
      </c>
      <c r="H171" s="123">
        <f t="shared" si="46"/>
        <v>3000</v>
      </c>
      <c r="I171" s="123">
        <f t="shared" si="46"/>
        <v>3000</v>
      </c>
      <c r="J171" s="123">
        <f t="shared" si="46"/>
        <v>3000</v>
      </c>
      <c r="K171" s="123">
        <f t="shared" si="46"/>
        <v>3000</v>
      </c>
      <c r="L171" s="123">
        <f t="shared" si="46"/>
        <v>3000</v>
      </c>
      <c r="M171" s="123">
        <f t="shared" si="46"/>
        <v>3000</v>
      </c>
    </row>
    <row r="172" spans="1:13" s="35" customFormat="1" x14ac:dyDescent="0.3">
      <c r="A172" s="35" t="s">
        <v>94</v>
      </c>
      <c r="B172" s="17" t="s">
        <v>124</v>
      </c>
      <c r="C172" s="33">
        <f>SUM(D172:M172)</f>
        <v>12000</v>
      </c>
      <c r="D172" s="33">
        <f>IF(D72=0,0,D171)</f>
        <v>0</v>
      </c>
      <c r="E172" s="33">
        <f t="shared" ref="E172:M172" si="47">IF(E72=0,0,E171)</f>
        <v>0</v>
      </c>
      <c r="F172" s="33">
        <f t="shared" si="47"/>
        <v>0</v>
      </c>
      <c r="G172" s="33">
        <f t="shared" si="47"/>
        <v>3000</v>
      </c>
      <c r="H172" s="33">
        <f t="shared" si="47"/>
        <v>3000</v>
      </c>
      <c r="I172" s="33">
        <f t="shared" si="47"/>
        <v>3000</v>
      </c>
      <c r="J172" s="33">
        <f t="shared" si="47"/>
        <v>3000</v>
      </c>
      <c r="K172" s="33">
        <f t="shared" si="47"/>
        <v>0</v>
      </c>
      <c r="L172" s="33">
        <f t="shared" si="47"/>
        <v>0</v>
      </c>
      <c r="M172" s="33">
        <f t="shared" si="47"/>
        <v>0</v>
      </c>
    </row>
    <row r="173" spans="1:13" s="35" customFormat="1" ht="6" customHeight="1" x14ac:dyDescent="0.3">
      <c r="C173" s="33"/>
      <c r="D173" s="33"/>
      <c r="E173" s="33"/>
      <c r="F173" s="33"/>
      <c r="G173" s="33"/>
      <c r="H173" s="33"/>
      <c r="I173" s="33"/>
      <c r="J173" s="33"/>
      <c r="K173" s="33"/>
      <c r="L173" s="33"/>
      <c r="M173" s="33"/>
    </row>
    <row r="174" spans="1:13" s="35" customFormat="1" x14ac:dyDescent="0.3">
      <c r="A174" s="34" t="s">
        <v>89</v>
      </c>
      <c r="B174" s="17" t="s">
        <v>124</v>
      </c>
      <c r="C174" s="32">
        <f>SUM(D174:M174)</f>
        <v>72724.244372990346</v>
      </c>
      <c r="D174" s="79">
        <f>D164+D168+D172</f>
        <v>0</v>
      </c>
      <c r="E174" s="79">
        <f t="shared" ref="E174:M174" si="48">E164+E168+E172</f>
        <v>0</v>
      </c>
      <c r="F174" s="79">
        <f t="shared" si="48"/>
        <v>0</v>
      </c>
      <c r="G174" s="79">
        <f t="shared" si="48"/>
        <v>16985.594855305466</v>
      </c>
      <c r="H174" s="79">
        <f t="shared" si="48"/>
        <v>20928.617363344052</v>
      </c>
      <c r="I174" s="79">
        <f t="shared" si="48"/>
        <v>20839.871382636655</v>
      </c>
      <c r="J174" s="79">
        <f t="shared" si="48"/>
        <v>13970.160771704181</v>
      </c>
      <c r="K174" s="79">
        <f t="shared" si="48"/>
        <v>0</v>
      </c>
      <c r="L174" s="79">
        <f t="shared" si="48"/>
        <v>0</v>
      </c>
      <c r="M174" s="79">
        <f t="shared" si="48"/>
        <v>0</v>
      </c>
    </row>
    <row r="175" spans="1:13" s="35" customFormat="1" x14ac:dyDescent="0.3">
      <c r="A175" s="34"/>
      <c r="B175" s="34"/>
      <c r="C175" s="32"/>
      <c r="D175" s="32"/>
      <c r="E175" s="32"/>
      <c r="F175" s="32"/>
      <c r="G175" s="32"/>
      <c r="H175" s="32"/>
      <c r="I175" s="32"/>
      <c r="J175" s="32"/>
      <c r="K175" s="32"/>
      <c r="L175" s="32"/>
      <c r="M175" s="32"/>
    </row>
    <row r="176" spans="1:13" x14ac:dyDescent="0.3">
      <c r="A176" s="31" t="s">
        <v>67</v>
      </c>
      <c r="B176" s="18"/>
      <c r="D176" s="129"/>
      <c r="E176" s="17"/>
      <c r="F176" s="21"/>
      <c r="G176" s="21"/>
      <c r="H176" s="21"/>
      <c r="I176" s="21"/>
      <c r="J176" s="21"/>
      <c r="K176" s="21"/>
      <c r="L176" s="21"/>
      <c r="M176" s="21"/>
    </row>
    <row r="177" spans="1:13" s="35" customFormat="1" x14ac:dyDescent="0.3">
      <c r="A177" s="35" t="str">
        <f>A68</f>
        <v>Ore production</v>
      </c>
      <c r="B177" s="35" t="str">
        <f>B68</f>
        <v>000 dry tonnes</v>
      </c>
      <c r="C177" s="33">
        <f>SUM(D177:M177)</f>
        <v>1700</v>
      </c>
      <c r="D177" s="33">
        <f t="shared" ref="D177:M177" si="49">D68</f>
        <v>0</v>
      </c>
      <c r="E177" s="33">
        <f t="shared" si="49"/>
        <v>0</v>
      </c>
      <c r="F177" s="33">
        <f t="shared" si="49"/>
        <v>0</v>
      </c>
      <c r="G177" s="33">
        <f t="shared" si="49"/>
        <v>400</v>
      </c>
      <c r="H177" s="33">
        <f t="shared" si="49"/>
        <v>500</v>
      </c>
      <c r="I177" s="33">
        <f t="shared" si="49"/>
        <v>500</v>
      </c>
      <c r="J177" s="33">
        <f t="shared" si="49"/>
        <v>300</v>
      </c>
      <c r="K177" s="33">
        <f t="shared" si="49"/>
        <v>0</v>
      </c>
      <c r="L177" s="33">
        <f t="shared" si="49"/>
        <v>0</v>
      </c>
      <c r="M177" s="33">
        <f t="shared" si="49"/>
        <v>0</v>
      </c>
    </row>
    <row r="178" spans="1:13" x14ac:dyDescent="0.3">
      <c r="A178" s="92" t="s">
        <v>214</v>
      </c>
      <c r="B178" s="18"/>
      <c r="D178" s="17"/>
      <c r="E178" s="21"/>
      <c r="F178" s="21"/>
      <c r="G178" s="21"/>
      <c r="H178" s="21"/>
      <c r="I178" s="21"/>
      <c r="J178" s="21"/>
      <c r="K178" s="21"/>
      <c r="L178" s="21"/>
      <c r="M178" s="21"/>
    </row>
    <row r="179" spans="1:13" x14ac:dyDescent="0.3">
      <c r="A179" s="121" t="s">
        <v>95</v>
      </c>
      <c r="B179" s="121" t="s">
        <v>193</v>
      </c>
      <c r="C179" s="33"/>
      <c r="D179" s="163">
        <v>2</v>
      </c>
      <c r="E179" s="125">
        <f t="shared" ref="E179:M179" si="50">D179</f>
        <v>2</v>
      </c>
      <c r="F179" s="125">
        <f t="shared" si="50"/>
        <v>2</v>
      </c>
      <c r="G179" s="125">
        <f t="shared" si="50"/>
        <v>2</v>
      </c>
      <c r="H179" s="125">
        <f t="shared" si="50"/>
        <v>2</v>
      </c>
      <c r="I179" s="125">
        <f t="shared" si="50"/>
        <v>2</v>
      </c>
      <c r="J179" s="125">
        <f t="shared" si="50"/>
        <v>2</v>
      </c>
      <c r="K179" s="125">
        <f t="shared" si="50"/>
        <v>2</v>
      </c>
      <c r="L179" s="125">
        <f t="shared" si="50"/>
        <v>2</v>
      </c>
      <c r="M179" s="125">
        <f t="shared" si="50"/>
        <v>2</v>
      </c>
    </row>
    <row r="180" spans="1:13" s="35" customFormat="1" x14ac:dyDescent="0.3">
      <c r="A180" s="35" t="s">
        <v>96</v>
      </c>
      <c r="B180" s="17" t="s">
        <v>124</v>
      </c>
      <c r="C180" s="33">
        <f>SUM(D180:M180)</f>
        <v>3400</v>
      </c>
      <c r="D180" s="33">
        <f>D177*D179</f>
        <v>0</v>
      </c>
      <c r="E180" s="33">
        <f t="shared" ref="E180:M180" si="51">E177*E179</f>
        <v>0</v>
      </c>
      <c r="F180" s="33">
        <f t="shared" si="51"/>
        <v>0</v>
      </c>
      <c r="G180" s="33">
        <f t="shared" si="51"/>
        <v>800</v>
      </c>
      <c r="H180" s="33">
        <f t="shared" si="51"/>
        <v>1000</v>
      </c>
      <c r="I180" s="33">
        <f t="shared" si="51"/>
        <v>1000</v>
      </c>
      <c r="J180" s="33">
        <f t="shared" si="51"/>
        <v>600</v>
      </c>
      <c r="K180" s="33">
        <f t="shared" si="51"/>
        <v>0</v>
      </c>
      <c r="L180" s="33">
        <f t="shared" si="51"/>
        <v>0</v>
      </c>
      <c r="M180" s="33">
        <f t="shared" si="51"/>
        <v>0</v>
      </c>
    </row>
    <row r="181" spans="1:13" ht="9.65" customHeight="1" x14ac:dyDescent="0.3">
      <c r="A181" s="23"/>
      <c r="C181" s="11"/>
    </row>
    <row r="182" spans="1:13" x14ac:dyDescent="0.3">
      <c r="A182" s="121" t="s">
        <v>97</v>
      </c>
      <c r="B182" s="121" t="s">
        <v>194</v>
      </c>
      <c r="C182" s="33"/>
      <c r="D182" s="123">
        <v>9000</v>
      </c>
      <c r="E182" s="123">
        <f>D182</f>
        <v>9000</v>
      </c>
      <c r="F182" s="123">
        <f t="shared" ref="F182:M182" si="52">E182</f>
        <v>9000</v>
      </c>
      <c r="G182" s="123">
        <f t="shared" si="52"/>
        <v>9000</v>
      </c>
      <c r="H182" s="123">
        <f t="shared" si="52"/>
        <v>9000</v>
      </c>
      <c r="I182" s="123">
        <f t="shared" si="52"/>
        <v>9000</v>
      </c>
      <c r="J182" s="123">
        <f t="shared" si="52"/>
        <v>9000</v>
      </c>
      <c r="K182" s="123">
        <f t="shared" si="52"/>
        <v>9000</v>
      </c>
      <c r="L182" s="123">
        <f t="shared" si="52"/>
        <v>9000</v>
      </c>
      <c r="M182" s="123">
        <f t="shared" si="52"/>
        <v>9000</v>
      </c>
    </row>
    <row r="183" spans="1:13" s="35" customFormat="1" x14ac:dyDescent="0.3">
      <c r="A183" s="35" t="s">
        <v>98</v>
      </c>
      <c r="B183" s="17" t="s">
        <v>124</v>
      </c>
      <c r="C183" s="33">
        <f>SUM(D183:M183)</f>
        <v>36000</v>
      </c>
      <c r="D183" s="33">
        <f>IF(D177=0,0,D182)</f>
        <v>0</v>
      </c>
      <c r="E183" s="33">
        <f t="shared" ref="E183:M183" si="53">IF(E177=0,0,E182)</f>
        <v>0</v>
      </c>
      <c r="F183" s="33">
        <f t="shared" si="53"/>
        <v>0</v>
      </c>
      <c r="G183" s="33">
        <f>IF(G177=0,0,G182)</f>
        <v>9000</v>
      </c>
      <c r="H183" s="33">
        <f t="shared" si="53"/>
        <v>9000</v>
      </c>
      <c r="I183" s="33">
        <f t="shared" si="53"/>
        <v>9000</v>
      </c>
      <c r="J183" s="33">
        <f t="shared" si="53"/>
        <v>9000</v>
      </c>
      <c r="K183" s="33">
        <f t="shared" si="53"/>
        <v>0</v>
      </c>
      <c r="L183" s="33">
        <f t="shared" si="53"/>
        <v>0</v>
      </c>
      <c r="M183" s="33">
        <f t="shared" si="53"/>
        <v>0</v>
      </c>
    </row>
    <row r="184" spans="1:13" s="35" customFormat="1" ht="7.25" customHeight="1" x14ac:dyDescent="0.3">
      <c r="A184" s="34"/>
      <c r="B184" s="34"/>
      <c r="C184" s="32"/>
      <c r="D184" s="32"/>
      <c r="E184" s="32"/>
      <c r="F184" s="32"/>
      <c r="G184" s="32"/>
      <c r="H184" s="32"/>
      <c r="I184" s="32"/>
      <c r="J184" s="32"/>
      <c r="K184" s="32"/>
      <c r="L184" s="32"/>
      <c r="M184" s="32"/>
    </row>
    <row r="185" spans="1:13" s="35" customFormat="1" x14ac:dyDescent="0.3">
      <c r="A185" s="34" t="s">
        <v>67</v>
      </c>
      <c r="B185" s="17" t="s">
        <v>124</v>
      </c>
      <c r="C185" s="32">
        <f>SUM(D185:M185)</f>
        <v>39400</v>
      </c>
      <c r="D185" s="79">
        <f>D180+D183</f>
        <v>0</v>
      </c>
      <c r="E185" s="79">
        <f t="shared" ref="E185:M185" si="54">E180+E183</f>
        <v>0</v>
      </c>
      <c r="F185" s="79">
        <f t="shared" si="54"/>
        <v>0</v>
      </c>
      <c r="G185" s="79">
        <f t="shared" si="54"/>
        <v>9800</v>
      </c>
      <c r="H185" s="79">
        <f t="shared" si="54"/>
        <v>10000</v>
      </c>
      <c r="I185" s="79">
        <f t="shared" si="54"/>
        <v>10000</v>
      </c>
      <c r="J185" s="79">
        <f t="shared" si="54"/>
        <v>9600</v>
      </c>
      <c r="K185" s="79">
        <f t="shared" si="54"/>
        <v>0</v>
      </c>
      <c r="L185" s="79">
        <f t="shared" si="54"/>
        <v>0</v>
      </c>
      <c r="M185" s="79">
        <f t="shared" si="54"/>
        <v>0</v>
      </c>
    </row>
    <row r="186" spans="1:13" s="35" customFormat="1" x14ac:dyDescent="0.3">
      <c r="A186" s="34"/>
      <c r="B186" s="34"/>
      <c r="C186" s="32"/>
      <c r="D186" s="32"/>
      <c r="E186" s="32"/>
      <c r="F186" s="32"/>
      <c r="G186" s="32"/>
      <c r="H186" s="32"/>
      <c r="I186" s="32"/>
      <c r="J186" s="32"/>
      <c r="K186" s="32"/>
      <c r="L186" s="32"/>
      <c r="M186" s="32"/>
    </row>
    <row r="187" spans="1:13" x14ac:dyDescent="0.3">
      <c r="A187" s="31" t="s">
        <v>99</v>
      </c>
      <c r="B187" s="18"/>
      <c r="D187" s="21"/>
      <c r="E187" s="21"/>
      <c r="F187" s="21"/>
      <c r="G187" s="21"/>
      <c r="H187" s="21"/>
      <c r="I187" s="21"/>
      <c r="J187" s="21"/>
      <c r="K187" s="21"/>
      <c r="L187" s="21"/>
      <c r="M187" s="21"/>
    </row>
    <row r="188" spans="1:13" x14ac:dyDescent="0.3">
      <c r="A188" s="58" t="s">
        <v>215</v>
      </c>
      <c r="C188" s="11"/>
    </row>
    <row r="189" spans="1:13" x14ac:dyDescent="0.3">
      <c r="A189" s="92" t="s">
        <v>221</v>
      </c>
      <c r="C189" s="11"/>
    </row>
    <row r="190" spans="1:13" s="35" customFormat="1" x14ac:dyDescent="0.3">
      <c r="A190" s="35" t="str">
        <f>A88</f>
        <v>Cashstream 1: Revenue - High Grading Case</v>
      </c>
      <c r="B190" s="35" t="str">
        <f>B88</f>
        <v>US$ 000 Real</v>
      </c>
      <c r="C190" s="33">
        <f>SUM(D190:M190)</f>
        <v>324141.47909967846</v>
      </c>
      <c r="D190" s="33">
        <f>D88</f>
        <v>0</v>
      </c>
      <c r="E190" s="33">
        <f t="shared" ref="E190:M190" si="55">E88</f>
        <v>0</v>
      </c>
      <c r="F190" s="33">
        <f t="shared" si="55"/>
        <v>0</v>
      </c>
      <c r="G190" s="33">
        <f t="shared" si="55"/>
        <v>54905.498764988704</v>
      </c>
      <c r="H190" s="33">
        <f t="shared" si="55"/>
        <v>91739.797180311652</v>
      </c>
      <c r="I190" s="33">
        <f t="shared" si="55"/>
        <v>94918.157207281984</v>
      </c>
      <c r="J190" s="33">
        <f t="shared" si="55"/>
        <v>82578.025947096117</v>
      </c>
      <c r="K190" s="33">
        <f t="shared" si="55"/>
        <v>0</v>
      </c>
      <c r="L190" s="33">
        <f t="shared" si="55"/>
        <v>0</v>
      </c>
      <c r="M190" s="33">
        <f t="shared" si="55"/>
        <v>0</v>
      </c>
    </row>
    <row r="191" spans="1:13" x14ac:dyDescent="0.3">
      <c r="A191" s="121" t="s">
        <v>100</v>
      </c>
      <c r="B191" s="121" t="s">
        <v>101</v>
      </c>
      <c r="C191" s="33"/>
      <c r="D191" s="164">
        <v>1.2500000000000001E-2</v>
      </c>
      <c r="E191" s="164">
        <f t="shared" ref="E191:M191" si="56">D191</f>
        <v>1.2500000000000001E-2</v>
      </c>
      <c r="F191" s="164">
        <f t="shared" si="56"/>
        <v>1.2500000000000001E-2</v>
      </c>
      <c r="G191" s="164">
        <f t="shared" si="56"/>
        <v>1.2500000000000001E-2</v>
      </c>
      <c r="H191" s="164">
        <f t="shared" si="56"/>
        <v>1.2500000000000001E-2</v>
      </c>
      <c r="I191" s="164">
        <f t="shared" si="56"/>
        <v>1.2500000000000001E-2</v>
      </c>
      <c r="J191" s="164">
        <f t="shared" si="56"/>
        <v>1.2500000000000001E-2</v>
      </c>
      <c r="K191" s="164">
        <f t="shared" si="56"/>
        <v>1.2500000000000001E-2</v>
      </c>
      <c r="L191" s="164">
        <f t="shared" si="56"/>
        <v>1.2500000000000001E-2</v>
      </c>
      <c r="M191" s="164">
        <f t="shared" si="56"/>
        <v>1.2500000000000001E-2</v>
      </c>
    </row>
    <row r="192" spans="1:13" s="35" customFormat="1" x14ac:dyDescent="0.3">
      <c r="A192" s="34" t="str">
        <f>A187</f>
        <v>Private Royalties</v>
      </c>
      <c r="B192" s="17" t="s">
        <v>124</v>
      </c>
      <c r="C192" s="32">
        <f>SUM(D192:M192)</f>
        <v>4051.7684887459809</v>
      </c>
      <c r="D192" s="79">
        <f>D190*D191</f>
        <v>0</v>
      </c>
      <c r="E192" s="79">
        <f t="shared" ref="E192:M192" si="57">E190*E191</f>
        <v>0</v>
      </c>
      <c r="F192" s="79">
        <f t="shared" si="57"/>
        <v>0</v>
      </c>
      <c r="G192" s="79">
        <f t="shared" si="57"/>
        <v>686.31873456235883</v>
      </c>
      <c r="H192" s="79">
        <f t="shared" si="57"/>
        <v>1146.7474647538957</v>
      </c>
      <c r="I192" s="79">
        <f t="shared" si="57"/>
        <v>1186.4769650910248</v>
      </c>
      <c r="J192" s="79">
        <f t="shared" si="57"/>
        <v>1032.2253243387015</v>
      </c>
      <c r="K192" s="79">
        <f t="shared" si="57"/>
        <v>0</v>
      </c>
      <c r="L192" s="79">
        <f t="shared" si="57"/>
        <v>0</v>
      </c>
      <c r="M192" s="79">
        <f t="shared" si="57"/>
        <v>0</v>
      </c>
    </row>
    <row r="193" spans="1:13" s="35" customFormat="1" x14ac:dyDescent="0.3">
      <c r="A193" s="34"/>
      <c r="B193" s="17"/>
      <c r="C193" s="32"/>
      <c r="D193" s="32"/>
      <c r="E193" s="32"/>
      <c r="F193" s="32"/>
      <c r="G193" s="32"/>
      <c r="H193" s="32"/>
      <c r="I193" s="32"/>
      <c r="J193" s="32"/>
      <c r="K193" s="32"/>
      <c r="L193" s="32"/>
      <c r="M193" s="32"/>
    </row>
    <row r="194" spans="1:13" x14ac:dyDescent="0.3">
      <c r="A194" s="31" t="s">
        <v>130</v>
      </c>
      <c r="B194" s="18"/>
      <c r="D194" s="129"/>
      <c r="E194" s="17"/>
      <c r="F194" s="21"/>
      <c r="G194" s="21"/>
      <c r="H194" s="21"/>
      <c r="I194" s="21"/>
      <c r="J194" s="21"/>
      <c r="K194" s="21"/>
      <c r="L194" s="21"/>
      <c r="M194" s="21"/>
    </row>
    <row r="195" spans="1:13" x14ac:dyDescent="0.3">
      <c r="A195" s="92" t="s">
        <v>222</v>
      </c>
      <c r="B195" s="18"/>
      <c r="D195" s="17"/>
      <c r="E195" s="21"/>
      <c r="F195" s="21"/>
      <c r="G195" s="21"/>
      <c r="H195" s="21"/>
      <c r="I195" s="21"/>
      <c r="J195" s="21"/>
      <c r="K195" s="21"/>
      <c r="L195" s="21"/>
      <c r="M195" s="21"/>
    </row>
    <row r="196" spans="1:13" s="35" customFormat="1" x14ac:dyDescent="0.3">
      <c r="A196" s="35" t="str">
        <f>A67</f>
        <v>Waste removed</v>
      </c>
      <c r="B196" s="35" t="str">
        <f>B67</f>
        <v>000 dry tonnes</v>
      </c>
      <c r="C196" s="33">
        <f>SUM(D196:M196)</f>
        <v>2900</v>
      </c>
      <c r="D196" s="33">
        <f t="shared" ref="D196:M196" si="58">D67</f>
        <v>0</v>
      </c>
      <c r="E196" s="33">
        <f t="shared" si="58"/>
        <v>0</v>
      </c>
      <c r="F196" s="33">
        <f t="shared" si="58"/>
        <v>800</v>
      </c>
      <c r="G196" s="33">
        <f t="shared" si="58"/>
        <v>600</v>
      </c>
      <c r="H196" s="33">
        <f t="shared" si="58"/>
        <v>600</v>
      </c>
      <c r="I196" s="33">
        <f t="shared" si="58"/>
        <v>600</v>
      </c>
      <c r="J196" s="33">
        <f t="shared" si="58"/>
        <v>300</v>
      </c>
      <c r="K196" s="33">
        <f t="shared" si="58"/>
        <v>0</v>
      </c>
      <c r="L196" s="33">
        <f t="shared" si="58"/>
        <v>0</v>
      </c>
      <c r="M196" s="33">
        <f t="shared" si="58"/>
        <v>0</v>
      </c>
    </row>
    <row r="197" spans="1:13" s="35" customFormat="1" x14ac:dyDescent="0.3">
      <c r="A197" s="35" t="str">
        <f>A68</f>
        <v>Ore production</v>
      </c>
      <c r="B197" s="35" t="str">
        <f>B68</f>
        <v>000 dry tonnes</v>
      </c>
      <c r="C197" s="33">
        <f>SUM(D197:M197)</f>
        <v>1700</v>
      </c>
      <c r="D197" s="33">
        <f t="shared" ref="D197:M197" si="59">D68</f>
        <v>0</v>
      </c>
      <c r="E197" s="33">
        <f t="shared" si="59"/>
        <v>0</v>
      </c>
      <c r="F197" s="33">
        <f t="shared" si="59"/>
        <v>0</v>
      </c>
      <c r="G197" s="33">
        <f t="shared" si="59"/>
        <v>400</v>
      </c>
      <c r="H197" s="33">
        <f t="shared" si="59"/>
        <v>500</v>
      </c>
      <c r="I197" s="33">
        <f t="shared" si="59"/>
        <v>500</v>
      </c>
      <c r="J197" s="33">
        <f t="shared" si="59"/>
        <v>300</v>
      </c>
      <c r="K197" s="33">
        <f t="shared" si="59"/>
        <v>0</v>
      </c>
      <c r="L197" s="33">
        <f t="shared" si="59"/>
        <v>0</v>
      </c>
      <c r="M197" s="33">
        <f t="shared" si="59"/>
        <v>0</v>
      </c>
    </row>
    <row r="198" spans="1:13" x14ac:dyDescent="0.3">
      <c r="A198" s="121" t="s">
        <v>95</v>
      </c>
      <c r="B198" s="121" t="s">
        <v>196</v>
      </c>
      <c r="C198" s="33"/>
      <c r="D198" s="165">
        <v>0.2</v>
      </c>
      <c r="E198" s="125">
        <f t="shared" ref="E198:M198" si="60">D198</f>
        <v>0.2</v>
      </c>
      <c r="F198" s="125">
        <f t="shared" si="60"/>
        <v>0.2</v>
      </c>
      <c r="G198" s="125">
        <f t="shared" si="60"/>
        <v>0.2</v>
      </c>
      <c r="H198" s="125">
        <f t="shared" si="60"/>
        <v>0.2</v>
      </c>
      <c r="I198" s="125">
        <f t="shared" si="60"/>
        <v>0.2</v>
      </c>
      <c r="J198" s="125">
        <f t="shared" si="60"/>
        <v>0.2</v>
      </c>
      <c r="K198" s="125">
        <f t="shared" si="60"/>
        <v>0.2</v>
      </c>
      <c r="L198" s="125">
        <f t="shared" si="60"/>
        <v>0.2</v>
      </c>
      <c r="M198" s="125">
        <f t="shared" si="60"/>
        <v>0.2</v>
      </c>
    </row>
    <row r="199" spans="1:13" s="35" customFormat="1" x14ac:dyDescent="0.3">
      <c r="A199" s="35" t="s">
        <v>131</v>
      </c>
      <c r="B199" s="17" t="s">
        <v>124</v>
      </c>
      <c r="C199" s="33">
        <f>SUM(D199:M199)</f>
        <v>920</v>
      </c>
      <c r="D199" s="33">
        <f>(D196+D197)*D198</f>
        <v>0</v>
      </c>
      <c r="E199" s="33">
        <f t="shared" ref="E199:M199" si="61">(E196+E197)*E198</f>
        <v>0</v>
      </c>
      <c r="F199" s="33">
        <f t="shared" si="61"/>
        <v>160</v>
      </c>
      <c r="G199" s="33">
        <f t="shared" si="61"/>
        <v>200</v>
      </c>
      <c r="H199" s="33">
        <f t="shared" si="61"/>
        <v>220</v>
      </c>
      <c r="I199" s="33">
        <f t="shared" si="61"/>
        <v>220</v>
      </c>
      <c r="J199" s="33">
        <f t="shared" si="61"/>
        <v>120</v>
      </c>
      <c r="K199" s="33">
        <f t="shared" si="61"/>
        <v>0</v>
      </c>
      <c r="L199" s="33">
        <f t="shared" si="61"/>
        <v>0</v>
      </c>
      <c r="M199" s="33">
        <f t="shared" si="61"/>
        <v>0</v>
      </c>
    </row>
    <row r="200" spans="1:13" ht="9.5" customHeight="1" x14ac:dyDescent="0.3">
      <c r="A200" s="23"/>
      <c r="C200" s="11"/>
    </row>
    <row r="201" spans="1:13" x14ac:dyDescent="0.3">
      <c r="A201" s="121" t="s">
        <v>132</v>
      </c>
      <c r="B201" s="121" t="s">
        <v>129</v>
      </c>
      <c r="C201" s="33"/>
      <c r="D201" s="166">
        <v>40000</v>
      </c>
      <c r="E201" s="123">
        <f>D201</f>
        <v>40000</v>
      </c>
      <c r="F201" s="123">
        <f t="shared" ref="F201:M201" si="62">E201</f>
        <v>40000</v>
      </c>
      <c r="G201" s="123">
        <f t="shared" si="62"/>
        <v>40000</v>
      </c>
      <c r="H201" s="123">
        <f t="shared" si="62"/>
        <v>40000</v>
      </c>
      <c r="I201" s="123">
        <f t="shared" si="62"/>
        <v>40000</v>
      </c>
      <c r="J201" s="123">
        <f t="shared" si="62"/>
        <v>40000</v>
      </c>
      <c r="K201" s="123">
        <f t="shared" si="62"/>
        <v>40000</v>
      </c>
      <c r="L201" s="123">
        <f t="shared" si="62"/>
        <v>40000</v>
      </c>
      <c r="M201" s="123">
        <f t="shared" si="62"/>
        <v>40000</v>
      </c>
    </row>
    <row r="202" spans="1:13" s="35" customFormat="1" x14ac:dyDescent="0.3">
      <c r="A202" s="35" t="s">
        <v>133</v>
      </c>
      <c r="B202" s="17" t="s">
        <v>124</v>
      </c>
      <c r="C202" s="33">
        <f>SUM(D202:M202)</f>
        <v>40000</v>
      </c>
      <c r="D202" s="167"/>
      <c r="E202" s="33">
        <f>IF(AND(D197&gt;0,E197=0),E201,0)</f>
        <v>0</v>
      </c>
      <c r="F202" s="33">
        <f t="shared" ref="F202:M202" si="63">IF(AND(E197&gt;0,F197=0),F201,0)</f>
        <v>0</v>
      </c>
      <c r="G202" s="33">
        <f t="shared" si="63"/>
        <v>0</v>
      </c>
      <c r="H202" s="33">
        <f t="shared" si="63"/>
        <v>0</v>
      </c>
      <c r="I202" s="33">
        <f t="shared" si="63"/>
        <v>0</v>
      </c>
      <c r="J202" s="33">
        <f t="shared" si="63"/>
        <v>0</v>
      </c>
      <c r="K202" s="33">
        <f t="shared" si="63"/>
        <v>40000</v>
      </c>
      <c r="L202" s="33">
        <f t="shared" si="63"/>
        <v>0</v>
      </c>
      <c r="M202" s="33">
        <f t="shared" si="63"/>
        <v>0</v>
      </c>
    </row>
    <row r="203" spans="1:13" s="35" customFormat="1" ht="7.25" customHeight="1" x14ac:dyDescent="0.3">
      <c r="A203" s="34"/>
      <c r="B203" s="34"/>
      <c r="C203" s="32"/>
      <c r="D203" s="32"/>
      <c r="E203" s="32"/>
      <c r="F203" s="32"/>
      <c r="G203" s="32"/>
      <c r="H203" s="32"/>
      <c r="I203" s="32"/>
      <c r="J203" s="32"/>
      <c r="K203" s="32"/>
      <c r="L203" s="32"/>
      <c r="M203" s="32"/>
    </row>
    <row r="204" spans="1:13" s="35" customFormat="1" x14ac:dyDescent="0.3">
      <c r="A204" s="34" t="str">
        <f>A194</f>
        <v>Rehab &amp; Closure</v>
      </c>
      <c r="B204" s="17" t="s">
        <v>124</v>
      </c>
      <c r="C204" s="32">
        <f>SUM(D204:M204)</f>
        <v>40920</v>
      </c>
      <c r="D204" s="79">
        <f>D199+D202</f>
        <v>0</v>
      </c>
      <c r="E204" s="79">
        <f t="shared" ref="E204:M204" si="64">E199+E202</f>
        <v>0</v>
      </c>
      <c r="F204" s="79">
        <f t="shared" si="64"/>
        <v>160</v>
      </c>
      <c r="G204" s="79">
        <f t="shared" si="64"/>
        <v>200</v>
      </c>
      <c r="H204" s="79">
        <f t="shared" si="64"/>
        <v>220</v>
      </c>
      <c r="I204" s="79">
        <f t="shared" si="64"/>
        <v>220</v>
      </c>
      <c r="J204" s="79">
        <f t="shared" si="64"/>
        <v>120</v>
      </c>
      <c r="K204" s="79">
        <f t="shared" si="64"/>
        <v>40000</v>
      </c>
      <c r="L204" s="79">
        <f t="shared" si="64"/>
        <v>0</v>
      </c>
      <c r="M204" s="79">
        <f t="shared" si="64"/>
        <v>0</v>
      </c>
    </row>
    <row r="205" spans="1:13" s="35" customFormat="1" ht="15" customHeight="1" x14ac:dyDescent="0.3">
      <c r="B205" s="17"/>
      <c r="C205" s="33"/>
      <c r="D205" s="33"/>
      <c r="E205" s="33"/>
      <c r="F205" s="33"/>
      <c r="G205" s="33"/>
      <c r="H205" s="33"/>
      <c r="I205" s="33"/>
      <c r="J205" s="33"/>
      <c r="K205" s="33"/>
      <c r="L205" s="33"/>
      <c r="M205" s="33"/>
    </row>
    <row r="206" spans="1:13" ht="15.5" x14ac:dyDescent="0.35">
      <c r="A206" s="107" t="s">
        <v>152</v>
      </c>
      <c r="B206" s="17" t="s">
        <v>124</v>
      </c>
      <c r="C206" s="155">
        <f>SUM(D206:M206)</f>
        <v>197296.01286173632</v>
      </c>
      <c r="D206" s="108">
        <f t="shared" ref="D206:M206" si="65">D158+D174+D185+D192+D204</f>
        <v>0</v>
      </c>
      <c r="E206" s="108">
        <f t="shared" si="65"/>
        <v>0</v>
      </c>
      <c r="F206" s="108">
        <f t="shared" si="65"/>
        <v>3360</v>
      </c>
      <c r="G206" s="108">
        <f t="shared" si="65"/>
        <v>36571.913589867821</v>
      </c>
      <c r="H206" s="108">
        <f t="shared" si="65"/>
        <v>42195.364828097947</v>
      </c>
      <c r="I206" s="108">
        <f t="shared" si="65"/>
        <v>42646.348347727682</v>
      </c>
      <c r="J206" s="108">
        <f t="shared" si="65"/>
        <v>32522.386096042883</v>
      </c>
      <c r="K206" s="108">
        <f t="shared" si="65"/>
        <v>40000</v>
      </c>
      <c r="L206" s="108">
        <f t="shared" si="65"/>
        <v>0</v>
      </c>
      <c r="M206" s="108">
        <f t="shared" si="65"/>
        <v>0</v>
      </c>
    </row>
    <row r="207" spans="1:13" ht="11.5" customHeight="1" x14ac:dyDescent="0.35">
      <c r="A207" s="107"/>
      <c r="C207" s="155"/>
      <c r="D207" s="168"/>
      <c r="E207" s="168"/>
      <c r="F207" s="168"/>
      <c r="G207" s="168"/>
      <c r="H207" s="168"/>
      <c r="I207" s="168"/>
      <c r="J207" s="168"/>
      <c r="K207" s="168"/>
      <c r="L207" s="168"/>
      <c r="M207" s="168"/>
    </row>
    <row r="208" spans="1:13" x14ac:dyDescent="0.3">
      <c r="A208" s="169" t="s">
        <v>220</v>
      </c>
      <c r="C208" s="32"/>
      <c r="D208" s="32"/>
      <c r="E208" s="32"/>
      <c r="F208" s="32"/>
      <c r="G208" s="32"/>
      <c r="H208" s="32"/>
      <c r="I208" s="32"/>
      <c r="J208" s="32"/>
      <c r="K208" s="32"/>
      <c r="L208" s="32"/>
      <c r="M208" s="32"/>
    </row>
    <row r="209" spans="1:13" x14ac:dyDescent="0.3">
      <c r="A209" s="58" t="s">
        <v>223</v>
      </c>
      <c r="B209" s="18"/>
      <c r="D209" s="21"/>
      <c r="E209" s="21"/>
      <c r="F209" s="21"/>
      <c r="G209" s="21"/>
      <c r="H209" s="21"/>
      <c r="I209" s="21"/>
      <c r="J209" s="21"/>
      <c r="K209" s="21"/>
      <c r="L209" s="21"/>
      <c r="M209" s="21"/>
    </row>
    <row r="210" spans="1:13" x14ac:dyDescent="0.3">
      <c r="A210" s="60" t="s">
        <v>219</v>
      </c>
      <c r="B210" s="35" t="s">
        <v>123</v>
      </c>
      <c r="C210" s="32">
        <f>IF(C72=0,0,C206/C72)</f>
        <v>1217.3450519800015</v>
      </c>
      <c r="D210" s="33">
        <f>IF(D72=0,0,D206/D72)</f>
        <v>0</v>
      </c>
      <c r="E210" s="33">
        <f>IF(E72=0,0,E206/E72)</f>
        <v>0</v>
      </c>
      <c r="F210" s="33">
        <f>IF(F72=0,0,#REF!/F72)</f>
        <v>0</v>
      </c>
      <c r="G210" s="33">
        <f t="shared" ref="G210:M210" si="66">IF(G72=0,0,G206/G72)</f>
        <v>1105.1170935142725</v>
      </c>
      <c r="H210" s="33">
        <f t="shared" si="66"/>
        <v>864.47684199858122</v>
      </c>
      <c r="I210" s="33">
        <f t="shared" si="66"/>
        <v>901.01999566190966</v>
      </c>
      <c r="J210" s="33">
        <f t="shared" si="66"/>
        <v>990.44869524768274</v>
      </c>
      <c r="K210" s="33">
        <f t="shared" si="66"/>
        <v>0</v>
      </c>
      <c r="L210" s="33">
        <f t="shared" si="66"/>
        <v>0</v>
      </c>
      <c r="M210" s="33">
        <f t="shared" si="66"/>
        <v>0</v>
      </c>
    </row>
    <row r="211" spans="1:13" x14ac:dyDescent="0.3">
      <c r="A211" s="60" t="s">
        <v>107</v>
      </c>
      <c r="B211" s="35" t="s">
        <v>123</v>
      </c>
      <c r="C211" s="32">
        <f>IF(C72=0,0,(C206+C219)/C72)</f>
        <v>1277.3450519800015</v>
      </c>
      <c r="D211" s="33">
        <f>IF(D72=0,0,(D206+D219)/D72)</f>
        <v>0</v>
      </c>
      <c r="E211" s="33">
        <f>IF(E72=0,0,(E206+E219)/E72)</f>
        <v>0</v>
      </c>
      <c r="F211" s="33">
        <f>IF(F72=0,0,(#REF!+F219)/F72)</f>
        <v>0</v>
      </c>
      <c r="G211" s="33">
        <f t="shared" ref="G211:M211" si="67">IF(G72=0,0,(G206+G219)/G72)</f>
        <v>1154.8905392466222</v>
      </c>
      <c r="H211" s="33">
        <f t="shared" si="67"/>
        <v>920.8623695145435</v>
      </c>
      <c r="I211" s="33">
        <f t="shared" si="67"/>
        <v>961.18211568527522</v>
      </c>
      <c r="J211" s="33">
        <f t="shared" si="67"/>
        <v>1065.8945415154467</v>
      </c>
      <c r="K211" s="33">
        <f t="shared" si="67"/>
        <v>0</v>
      </c>
      <c r="L211" s="33">
        <f t="shared" si="67"/>
        <v>0</v>
      </c>
      <c r="M211" s="33">
        <f t="shared" si="67"/>
        <v>0</v>
      </c>
    </row>
    <row r="212" spans="1:13" x14ac:dyDescent="0.3">
      <c r="A212" s="18"/>
      <c r="B212" s="18"/>
      <c r="D212" s="21"/>
      <c r="E212" s="21"/>
      <c r="F212" s="21"/>
      <c r="G212" s="21"/>
      <c r="H212" s="21"/>
      <c r="I212" s="21"/>
      <c r="J212" s="21"/>
      <c r="K212" s="21"/>
      <c r="L212" s="21"/>
      <c r="M212" s="21"/>
    </row>
    <row r="213" spans="1:13" s="183" customFormat="1" ht="33.5" customHeight="1" x14ac:dyDescent="0.35">
      <c r="A213" s="180" t="str">
        <f>'Results &amp; Common Inputs'!A$28</f>
        <v>Life of Business</v>
      </c>
      <c r="B213" s="180" t="str">
        <f>'Results &amp; Common Inputs'!B$28</f>
        <v>units</v>
      </c>
      <c r="C213" s="181" t="str">
        <f>'Results &amp; Common Inputs'!C$28</f>
        <v>Total</v>
      </c>
      <c r="D213" s="182">
        <f>'Results &amp; Common Inputs'!D$28</f>
        <v>2026</v>
      </c>
      <c r="E213" s="182">
        <f>'Results &amp; Common Inputs'!E$28</f>
        <v>2027</v>
      </c>
      <c r="F213" s="182">
        <f>'Results &amp; Common Inputs'!F$28</f>
        <v>2028</v>
      </c>
      <c r="G213" s="182">
        <f>'Results &amp; Common Inputs'!G$28</f>
        <v>2029</v>
      </c>
      <c r="H213" s="182">
        <f>'Results &amp; Common Inputs'!H$28</f>
        <v>2030</v>
      </c>
      <c r="I213" s="182">
        <f>'Results &amp; Common Inputs'!I$28</f>
        <v>2031</v>
      </c>
      <c r="J213" s="182">
        <f>'Results &amp; Common Inputs'!J$28</f>
        <v>2032</v>
      </c>
      <c r="K213" s="182">
        <f>'Results &amp; Common Inputs'!K$28</f>
        <v>2033</v>
      </c>
      <c r="L213" s="182">
        <f>'Results &amp; Common Inputs'!L$28</f>
        <v>2034</v>
      </c>
      <c r="M213" s="182">
        <f>'Results &amp; Common Inputs'!M$28</f>
        <v>2035</v>
      </c>
    </row>
    <row r="214" spans="1:13" s="63" customFormat="1" ht="43.75" customHeight="1" x14ac:dyDescent="0.35">
      <c r="A214" s="98" t="s">
        <v>27</v>
      </c>
      <c r="C214" s="64"/>
      <c r="D214" s="64"/>
      <c r="E214" s="64"/>
      <c r="F214" s="64"/>
      <c r="G214" s="64"/>
      <c r="H214" s="64"/>
      <c r="I214" s="64"/>
      <c r="J214" s="64"/>
      <c r="K214" s="64"/>
      <c r="L214" s="64"/>
      <c r="M214" s="64"/>
    </row>
    <row r="215" spans="1:13" x14ac:dyDescent="0.3">
      <c r="A215" s="31" t="s">
        <v>28</v>
      </c>
      <c r="B215" s="18"/>
      <c r="D215" s="21"/>
      <c r="E215" s="21"/>
      <c r="F215" s="21"/>
      <c r="G215" s="21"/>
      <c r="H215" s="21"/>
      <c r="I215" s="21"/>
      <c r="J215" s="21"/>
      <c r="K215" s="21"/>
      <c r="L215" s="21"/>
      <c r="M215" s="21"/>
    </row>
    <row r="216" spans="1:13" x14ac:dyDescent="0.3">
      <c r="A216" s="92" t="s">
        <v>224</v>
      </c>
      <c r="C216" s="11"/>
    </row>
    <row r="217" spans="1:13" s="35" customFormat="1" x14ac:dyDescent="0.3">
      <c r="A217" s="35" t="str">
        <f>A$88</f>
        <v>Cashstream 1: Revenue - High Grading Case</v>
      </c>
      <c r="B217" s="35" t="str">
        <f>B$88</f>
        <v>US$ 000 Real</v>
      </c>
      <c r="C217" s="33">
        <f t="shared" ref="C217" si="68">SUM(D217:M217)</f>
        <v>324141.47909967846</v>
      </c>
      <c r="D217" s="33">
        <f t="shared" ref="D217:M217" si="69">D$88</f>
        <v>0</v>
      </c>
      <c r="E217" s="33">
        <f t="shared" si="69"/>
        <v>0</v>
      </c>
      <c r="F217" s="33">
        <f t="shared" si="69"/>
        <v>0</v>
      </c>
      <c r="G217" s="33">
        <f t="shared" si="69"/>
        <v>54905.498764988704</v>
      </c>
      <c r="H217" s="33">
        <f t="shared" si="69"/>
        <v>91739.797180311652</v>
      </c>
      <c r="I217" s="33">
        <f t="shared" si="69"/>
        <v>94918.157207281984</v>
      </c>
      <c r="J217" s="33">
        <f t="shared" si="69"/>
        <v>82578.025947096117</v>
      </c>
      <c r="K217" s="33">
        <f t="shared" si="69"/>
        <v>0</v>
      </c>
      <c r="L217" s="33">
        <f t="shared" si="69"/>
        <v>0</v>
      </c>
      <c r="M217" s="33">
        <f t="shared" si="69"/>
        <v>0</v>
      </c>
    </row>
    <row r="218" spans="1:13" s="161" customFormat="1" x14ac:dyDescent="0.3">
      <c r="A218" s="170" t="str">
        <f>'Results &amp; Common Inputs'!A35</f>
        <v>State Royalty</v>
      </c>
      <c r="B218" s="170" t="str">
        <f>'Results &amp; Common Inputs'!B35</f>
        <v>% of revenue</v>
      </c>
      <c r="C218" s="170"/>
      <c r="D218" s="171">
        <f>'Results &amp; Common Inputs'!D35</f>
        <v>0.03</v>
      </c>
      <c r="E218" s="171">
        <f>'Results &amp; Common Inputs'!E35</f>
        <v>0.03</v>
      </c>
      <c r="F218" s="171">
        <f>'Results &amp; Common Inputs'!F35</f>
        <v>0.03</v>
      </c>
      <c r="G218" s="171">
        <f>'Results &amp; Common Inputs'!G35</f>
        <v>0.03</v>
      </c>
      <c r="H218" s="171">
        <f>'Results &amp; Common Inputs'!H35</f>
        <v>0.03</v>
      </c>
      <c r="I218" s="171">
        <f>'Results &amp; Common Inputs'!I35</f>
        <v>0.03</v>
      </c>
      <c r="J218" s="171">
        <f>'Results &amp; Common Inputs'!J35</f>
        <v>0.03</v>
      </c>
      <c r="K218" s="171">
        <f>'Results &amp; Common Inputs'!K35</f>
        <v>0.03</v>
      </c>
      <c r="L218" s="171">
        <f>'Results &amp; Common Inputs'!L35</f>
        <v>0.03</v>
      </c>
      <c r="M218" s="171">
        <f>'Results &amp; Common Inputs'!M35</f>
        <v>0.03</v>
      </c>
    </row>
    <row r="219" spans="1:13" s="35" customFormat="1" x14ac:dyDescent="0.3">
      <c r="A219" s="34" t="s">
        <v>29</v>
      </c>
      <c r="B219" s="17" t="s">
        <v>124</v>
      </c>
      <c r="C219" s="32">
        <f>SUM(D219:M219)</f>
        <v>9724.2443729903534</v>
      </c>
      <c r="D219" s="79">
        <f>D217*D218</f>
        <v>0</v>
      </c>
      <c r="E219" s="79">
        <f t="shared" ref="E219:M219" si="70">E217*E218</f>
        <v>0</v>
      </c>
      <c r="F219" s="79">
        <f t="shared" si="70"/>
        <v>0</v>
      </c>
      <c r="G219" s="79">
        <f t="shared" si="70"/>
        <v>1647.164962949661</v>
      </c>
      <c r="H219" s="79">
        <f t="shared" si="70"/>
        <v>2752.1939154093493</v>
      </c>
      <c r="I219" s="79">
        <f t="shared" si="70"/>
        <v>2847.5447162184596</v>
      </c>
      <c r="J219" s="79">
        <f t="shared" si="70"/>
        <v>2477.3407784128835</v>
      </c>
      <c r="K219" s="79">
        <f t="shared" si="70"/>
        <v>0</v>
      </c>
      <c r="L219" s="79">
        <f t="shared" si="70"/>
        <v>0</v>
      </c>
      <c r="M219" s="79">
        <f t="shared" si="70"/>
        <v>0</v>
      </c>
    </row>
    <row r="220" spans="1:13" x14ac:dyDescent="0.3">
      <c r="A220" s="18"/>
      <c r="B220" s="18"/>
      <c r="D220" s="21"/>
      <c r="E220" s="21"/>
      <c r="F220" s="21"/>
      <c r="G220" s="21"/>
      <c r="H220" s="21"/>
      <c r="I220" s="21"/>
      <c r="J220" s="21"/>
      <c r="K220" s="21"/>
      <c r="L220" s="21"/>
      <c r="M220" s="21"/>
    </row>
    <row r="221" spans="1:13" x14ac:dyDescent="0.3">
      <c r="A221" s="31" t="s">
        <v>31</v>
      </c>
      <c r="B221" s="18"/>
      <c r="D221" s="21"/>
      <c r="E221" s="21"/>
      <c r="F221" s="21"/>
      <c r="G221" s="21"/>
      <c r="H221" s="21"/>
      <c r="I221" s="21"/>
      <c r="J221" s="21"/>
      <c r="K221" s="21"/>
      <c r="L221" s="21"/>
      <c r="M221" s="21"/>
    </row>
    <row r="222" spans="1:13" x14ac:dyDescent="0.3">
      <c r="A222" s="23" t="s">
        <v>226</v>
      </c>
      <c r="B222" s="18"/>
      <c r="D222" s="21"/>
      <c r="E222" s="21"/>
      <c r="F222" s="21"/>
      <c r="G222" s="21"/>
      <c r="H222" s="21"/>
      <c r="I222" s="21"/>
      <c r="J222" s="21"/>
      <c r="K222" s="21"/>
      <c r="L222" s="21"/>
      <c r="M222" s="21"/>
    </row>
    <row r="223" spans="1:13" x14ac:dyDescent="0.3">
      <c r="A223" s="23" t="s">
        <v>227</v>
      </c>
      <c r="B223" s="18"/>
      <c r="D223" s="21"/>
      <c r="E223" s="21"/>
      <c r="F223" s="21"/>
      <c r="G223" s="21"/>
      <c r="H223" s="21"/>
      <c r="I223" s="21"/>
      <c r="J223" s="21"/>
      <c r="K223" s="21"/>
      <c r="L223" s="21"/>
      <c r="M223" s="21"/>
    </row>
    <row r="224" spans="1:13" x14ac:dyDescent="0.3">
      <c r="A224" s="23" t="s">
        <v>228</v>
      </c>
      <c r="B224" s="18"/>
      <c r="D224" s="21"/>
      <c r="E224" s="21"/>
      <c r="F224" s="21"/>
      <c r="G224" s="21"/>
      <c r="H224" s="21"/>
      <c r="I224" s="21"/>
      <c r="J224" s="21"/>
      <c r="K224" s="21"/>
      <c r="L224" s="21"/>
      <c r="M224" s="21"/>
    </row>
    <row r="225" spans="1:13" x14ac:dyDescent="0.3">
      <c r="A225" s="23" t="s">
        <v>225</v>
      </c>
      <c r="B225" s="18"/>
      <c r="D225" s="21"/>
      <c r="E225" s="21"/>
      <c r="F225" s="21"/>
      <c r="G225" s="21"/>
      <c r="H225" s="21"/>
      <c r="I225" s="21"/>
      <c r="J225" s="21"/>
      <c r="K225" s="21"/>
      <c r="L225" s="21"/>
      <c r="M225" s="21"/>
    </row>
    <row r="226" spans="1:13" x14ac:dyDescent="0.3">
      <c r="A226" s="23" t="s">
        <v>229</v>
      </c>
      <c r="B226" s="18"/>
      <c r="D226" s="21"/>
      <c r="E226" s="21"/>
      <c r="F226" s="21"/>
      <c r="G226" s="21"/>
      <c r="H226" s="21"/>
      <c r="I226" s="21"/>
      <c r="J226" s="21"/>
      <c r="K226" s="21"/>
      <c r="L226" s="21"/>
      <c r="M226" s="21"/>
    </row>
    <row r="227" spans="1:13" x14ac:dyDescent="0.3">
      <c r="A227" s="23"/>
      <c r="B227" s="18"/>
      <c r="D227" s="21"/>
      <c r="E227" s="21"/>
      <c r="F227" s="21"/>
      <c r="G227" s="21"/>
      <c r="H227" s="21"/>
      <c r="I227" s="21"/>
      <c r="J227" s="21"/>
      <c r="K227" s="21"/>
      <c r="L227" s="21"/>
      <c r="M227" s="21"/>
    </row>
    <row r="228" spans="1:13" x14ac:dyDescent="0.3">
      <c r="A228" s="92" t="s">
        <v>230</v>
      </c>
      <c r="B228" s="18"/>
      <c r="D228" s="21"/>
      <c r="E228" s="21"/>
      <c r="F228" s="21"/>
      <c r="G228" s="21"/>
      <c r="H228" s="21"/>
      <c r="I228" s="21"/>
      <c r="J228" s="21"/>
      <c r="K228" s="21"/>
      <c r="L228" s="21"/>
      <c r="M228" s="21"/>
    </row>
    <row r="229" spans="1:13" s="35" customFormat="1" x14ac:dyDescent="0.3">
      <c r="A229" s="35" t="str">
        <f>A$88</f>
        <v>Cashstream 1: Revenue - High Grading Case</v>
      </c>
      <c r="B229" s="35" t="str">
        <f>B$88</f>
        <v>US$ 000 Real</v>
      </c>
      <c r="C229" s="33">
        <f t="shared" ref="C229:C234" si="71">SUM(D229:M229)</f>
        <v>324141.47909967846</v>
      </c>
      <c r="D229" s="33">
        <f t="shared" ref="D229:M229" si="72">D$88</f>
        <v>0</v>
      </c>
      <c r="E229" s="33">
        <f t="shared" si="72"/>
        <v>0</v>
      </c>
      <c r="F229" s="33">
        <f t="shared" si="72"/>
        <v>0</v>
      </c>
      <c r="G229" s="33">
        <f t="shared" si="72"/>
        <v>54905.498764988704</v>
      </c>
      <c r="H229" s="33">
        <f t="shared" si="72"/>
        <v>91739.797180311652</v>
      </c>
      <c r="I229" s="33">
        <f t="shared" si="72"/>
        <v>94918.157207281984</v>
      </c>
      <c r="J229" s="33">
        <f t="shared" si="72"/>
        <v>82578.025947096117</v>
      </c>
      <c r="K229" s="33">
        <f t="shared" si="72"/>
        <v>0</v>
      </c>
      <c r="L229" s="33">
        <f t="shared" si="72"/>
        <v>0</v>
      </c>
      <c r="M229" s="33">
        <f t="shared" si="72"/>
        <v>0</v>
      </c>
    </row>
    <row r="230" spans="1:13" s="35" customFormat="1" ht="14.25" customHeight="1" x14ac:dyDescent="0.3">
      <c r="A230" s="35" t="s">
        <v>30</v>
      </c>
      <c r="C230" s="33"/>
      <c r="D230" s="33"/>
      <c r="E230" s="33"/>
      <c r="F230" s="33"/>
      <c r="G230" s="33"/>
      <c r="H230" s="33"/>
      <c r="I230" s="33"/>
      <c r="J230" s="33"/>
      <c r="K230" s="33"/>
      <c r="L230" s="33"/>
      <c r="M230" s="33"/>
    </row>
    <row r="231" spans="1:13" s="35" customFormat="1" x14ac:dyDescent="0.3">
      <c r="A231" s="35" t="str">
        <f>A206</f>
        <v>Cashstream 3: Operating Costs - High Grading Case</v>
      </c>
      <c r="B231" s="35" t="str">
        <f>B206</f>
        <v>US$ 000 Real</v>
      </c>
      <c r="C231" s="33">
        <f t="shared" si="71"/>
        <v>197296.01286173632</v>
      </c>
      <c r="D231" s="33">
        <f t="shared" ref="D231:M231" si="73">D206</f>
        <v>0</v>
      </c>
      <c r="E231" s="33">
        <f t="shared" si="73"/>
        <v>0</v>
      </c>
      <c r="F231" s="33">
        <f t="shared" si="73"/>
        <v>3360</v>
      </c>
      <c r="G231" s="33">
        <f t="shared" si="73"/>
        <v>36571.913589867821</v>
      </c>
      <c r="H231" s="33">
        <f t="shared" si="73"/>
        <v>42195.364828097947</v>
      </c>
      <c r="I231" s="33">
        <f t="shared" si="73"/>
        <v>42646.348347727682</v>
      </c>
      <c r="J231" s="33">
        <f t="shared" si="73"/>
        <v>32522.386096042883</v>
      </c>
      <c r="K231" s="33">
        <f t="shared" si="73"/>
        <v>40000</v>
      </c>
      <c r="L231" s="33">
        <f t="shared" si="73"/>
        <v>0</v>
      </c>
      <c r="M231" s="33">
        <f t="shared" si="73"/>
        <v>0</v>
      </c>
    </row>
    <row r="232" spans="1:13" s="35" customFormat="1" x14ac:dyDescent="0.3">
      <c r="A232" s="35" t="str">
        <f>A136</f>
        <v>Real terms tax deduction for capital expenditure</v>
      </c>
      <c r="B232" s="35" t="str">
        <f>B136</f>
        <v>US$ 000 Real</v>
      </c>
      <c r="C232" s="33">
        <f t="shared" si="71"/>
        <v>78516.489679065227</v>
      </c>
      <c r="D232" s="33">
        <f t="shared" ref="D232:M232" si="74">D136</f>
        <v>0</v>
      </c>
      <c r="E232" s="33">
        <f t="shared" si="74"/>
        <v>0</v>
      </c>
      <c r="F232" s="33">
        <f t="shared" si="74"/>
        <v>0</v>
      </c>
      <c r="G232" s="33">
        <f t="shared" si="74"/>
        <v>15486.287365557862</v>
      </c>
      <c r="H232" s="33">
        <f t="shared" si="74"/>
        <v>12836.976004086662</v>
      </c>
      <c r="I232" s="33">
        <f t="shared" si="74"/>
        <v>11263.952944181372</v>
      </c>
      <c r="J232" s="33">
        <f t="shared" si="74"/>
        <v>38929.273365239329</v>
      </c>
      <c r="K232" s="33">
        <f t="shared" si="74"/>
        <v>0</v>
      </c>
      <c r="L232" s="33">
        <f t="shared" si="74"/>
        <v>0</v>
      </c>
      <c r="M232" s="33">
        <f t="shared" si="74"/>
        <v>0</v>
      </c>
    </row>
    <row r="233" spans="1:13" s="35" customFormat="1" x14ac:dyDescent="0.3">
      <c r="A233" s="35" t="str">
        <f>A219</f>
        <v>State Royalty</v>
      </c>
      <c r="B233" s="35" t="str">
        <f>B219</f>
        <v>US$ 000 Real</v>
      </c>
      <c r="C233" s="33">
        <f t="shared" si="71"/>
        <v>9724.2443729903534</v>
      </c>
      <c r="D233" s="33">
        <f>D219</f>
        <v>0</v>
      </c>
      <c r="E233" s="33">
        <f t="shared" ref="E233:M233" si="75">E219</f>
        <v>0</v>
      </c>
      <c r="F233" s="33">
        <f t="shared" si="75"/>
        <v>0</v>
      </c>
      <c r="G233" s="33">
        <f t="shared" si="75"/>
        <v>1647.164962949661</v>
      </c>
      <c r="H233" s="33">
        <f t="shared" si="75"/>
        <v>2752.1939154093493</v>
      </c>
      <c r="I233" s="33">
        <f t="shared" si="75"/>
        <v>2847.5447162184596</v>
      </c>
      <c r="J233" s="33">
        <f t="shared" si="75"/>
        <v>2477.3407784128835</v>
      </c>
      <c r="K233" s="33">
        <f t="shared" si="75"/>
        <v>0</v>
      </c>
      <c r="L233" s="33">
        <f t="shared" si="75"/>
        <v>0</v>
      </c>
      <c r="M233" s="33">
        <f t="shared" si="75"/>
        <v>0</v>
      </c>
    </row>
    <row r="234" spans="1:13" s="35" customFormat="1" x14ac:dyDescent="0.3">
      <c r="A234" s="35" t="s">
        <v>32</v>
      </c>
      <c r="B234" s="17" t="s">
        <v>124</v>
      </c>
      <c r="C234" s="33">
        <f t="shared" si="71"/>
        <v>38604.732185886562</v>
      </c>
      <c r="D234" s="37">
        <f>D229-SUM(D231:D233)</f>
        <v>0</v>
      </c>
      <c r="E234" s="37">
        <f t="shared" ref="E234:M234" si="76">E229-SUM(E231:E233)</f>
        <v>0</v>
      </c>
      <c r="F234" s="37">
        <f t="shared" si="76"/>
        <v>-3360</v>
      </c>
      <c r="G234" s="37">
        <f t="shared" si="76"/>
        <v>1200.1328466133637</v>
      </c>
      <c r="H234" s="37">
        <f t="shared" si="76"/>
        <v>33955.262432717696</v>
      </c>
      <c r="I234" s="37">
        <f t="shared" si="76"/>
        <v>38160.311199154472</v>
      </c>
      <c r="J234" s="37">
        <f t="shared" si="76"/>
        <v>8649.0257074010296</v>
      </c>
      <c r="K234" s="37">
        <f t="shared" si="76"/>
        <v>-40000</v>
      </c>
      <c r="L234" s="37">
        <f t="shared" si="76"/>
        <v>0</v>
      </c>
      <c r="M234" s="37">
        <f t="shared" si="76"/>
        <v>0</v>
      </c>
    </row>
    <row r="235" spans="1:13" ht="9" customHeight="1" x14ac:dyDescent="0.3">
      <c r="A235" s="19"/>
      <c r="B235" s="18"/>
      <c r="D235" s="21"/>
      <c r="E235" s="21"/>
      <c r="F235" s="21"/>
      <c r="G235" s="21"/>
      <c r="H235" s="21"/>
      <c r="I235" s="21"/>
      <c r="J235" s="21"/>
      <c r="K235" s="21"/>
      <c r="L235" s="21"/>
      <c r="M235" s="21"/>
    </row>
    <row r="236" spans="1:13" s="173" customFormat="1" x14ac:dyDescent="0.3">
      <c r="A236" s="170" t="str">
        <f>'Results &amp; Common Inputs'!A37</f>
        <v>Company Income Tax  Rate</v>
      </c>
      <c r="B236" s="170" t="str">
        <f>'Results &amp; Common Inputs'!B37</f>
        <v>% of assessable income</v>
      </c>
      <c r="C236" s="170"/>
      <c r="D236" s="172">
        <f>'Results &amp; Common Inputs'!D37</f>
        <v>0.3</v>
      </c>
      <c r="E236" s="172">
        <f>'Results &amp; Common Inputs'!E37</f>
        <v>0.3</v>
      </c>
      <c r="F236" s="172">
        <f>'Results &amp; Common Inputs'!F37</f>
        <v>0.3</v>
      </c>
      <c r="G236" s="172">
        <f>'Results &amp; Common Inputs'!G37</f>
        <v>0.3</v>
      </c>
      <c r="H236" s="172">
        <f>'Results &amp; Common Inputs'!H37</f>
        <v>0.3</v>
      </c>
      <c r="I236" s="172">
        <f>'Results &amp; Common Inputs'!I37</f>
        <v>0.3</v>
      </c>
      <c r="J236" s="172">
        <f>'Results &amp; Common Inputs'!J37</f>
        <v>0.3</v>
      </c>
      <c r="K236" s="172">
        <f>'Results &amp; Common Inputs'!K37</f>
        <v>0.3</v>
      </c>
      <c r="L236" s="172">
        <f>'Results &amp; Common Inputs'!L37</f>
        <v>0.3</v>
      </c>
      <c r="M236" s="172">
        <f>'Results &amp; Common Inputs'!M37</f>
        <v>0.3</v>
      </c>
    </row>
    <row r="237" spans="1:13" s="35" customFormat="1" x14ac:dyDescent="0.3">
      <c r="A237" s="34" t="s">
        <v>68</v>
      </c>
      <c r="B237" s="17" t="s">
        <v>124</v>
      </c>
      <c r="C237" s="32">
        <f>SUM(D237:M237)</f>
        <v>11581.419655765967</v>
      </c>
      <c r="D237" s="32">
        <f>D234*D236</f>
        <v>0</v>
      </c>
      <c r="E237" s="32">
        <f t="shared" ref="E237:M237" si="77">E234*E236</f>
        <v>0</v>
      </c>
      <c r="F237" s="32">
        <f t="shared" si="77"/>
        <v>-1008</v>
      </c>
      <c r="G237" s="32">
        <f t="shared" si="77"/>
        <v>360.03985398400908</v>
      </c>
      <c r="H237" s="32">
        <f t="shared" si="77"/>
        <v>10186.578729815308</v>
      </c>
      <c r="I237" s="32">
        <f t="shared" si="77"/>
        <v>11448.093359746341</v>
      </c>
      <c r="J237" s="32">
        <f t="shared" si="77"/>
        <v>2594.7077122203086</v>
      </c>
      <c r="K237" s="32">
        <f t="shared" si="77"/>
        <v>-12000</v>
      </c>
      <c r="L237" s="32">
        <f t="shared" si="77"/>
        <v>0</v>
      </c>
      <c r="M237" s="32">
        <f t="shared" si="77"/>
        <v>0</v>
      </c>
    </row>
    <row r="238" spans="1:13" s="35" customFormat="1" ht="7.75" customHeight="1" x14ac:dyDescent="0.3">
      <c r="C238" s="33"/>
      <c r="D238" s="33"/>
      <c r="E238" s="33"/>
      <c r="F238" s="33"/>
      <c r="G238" s="33"/>
      <c r="H238" s="33"/>
      <c r="I238" s="33"/>
      <c r="J238" s="33"/>
      <c r="K238" s="33"/>
      <c r="L238" s="33"/>
      <c r="M238" s="33"/>
    </row>
    <row r="239" spans="1:13" x14ac:dyDescent="0.3">
      <c r="A239" s="92" t="s">
        <v>231</v>
      </c>
      <c r="B239" s="18"/>
      <c r="D239" s="21"/>
      <c r="E239" s="21"/>
      <c r="F239" s="21"/>
      <c r="G239" s="21"/>
      <c r="H239" s="21"/>
      <c r="I239" s="21"/>
      <c r="J239" s="21"/>
      <c r="K239" s="21"/>
      <c r="L239" s="21"/>
      <c r="M239" s="21"/>
    </row>
    <row r="240" spans="1:13" s="35" customFormat="1" ht="14.5" x14ac:dyDescent="0.35">
      <c r="A240" s="35" t="s">
        <v>69</v>
      </c>
      <c r="B240" s="17" t="s">
        <v>124</v>
      </c>
      <c r="C240" s="33"/>
      <c r="D240" s="174">
        <v>0</v>
      </c>
      <c r="E240" s="33">
        <f>D242</f>
        <v>0</v>
      </c>
      <c r="F240" s="33">
        <f t="shared" ref="F240:M240" si="78">E242</f>
        <v>0</v>
      </c>
      <c r="G240" s="33">
        <f t="shared" si="78"/>
        <v>-1008</v>
      </c>
      <c r="H240" s="33">
        <f t="shared" si="78"/>
        <v>-647.96014601599086</v>
      </c>
      <c r="I240" s="33">
        <f t="shared" si="78"/>
        <v>0</v>
      </c>
      <c r="J240" s="33">
        <f t="shared" si="78"/>
        <v>0</v>
      </c>
      <c r="K240" s="33">
        <f t="shared" si="78"/>
        <v>0</v>
      </c>
      <c r="L240" s="33">
        <f t="shared" si="78"/>
        <v>-12000</v>
      </c>
      <c r="M240" s="33">
        <f t="shared" si="78"/>
        <v>-12000</v>
      </c>
    </row>
    <row r="241" spans="1:13" s="35" customFormat="1" x14ac:dyDescent="0.3">
      <c r="A241" s="34" t="s">
        <v>33</v>
      </c>
      <c r="B241" s="17" t="s">
        <v>124</v>
      </c>
      <c r="C241" s="32">
        <f>SUM(D241:M241)</f>
        <v>23581.419655765967</v>
      </c>
      <c r="D241" s="79">
        <f t="shared" ref="D241:M241" si="79">IF(D237+D240&lt;0,0,D237+D240)</f>
        <v>0</v>
      </c>
      <c r="E241" s="79">
        <f>IF(E237+E240&lt;0,0,E237+E240)</f>
        <v>0</v>
      </c>
      <c r="F241" s="79">
        <f t="shared" si="79"/>
        <v>0</v>
      </c>
      <c r="G241" s="79">
        <f t="shared" si="79"/>
        <v>0</v>
      </c>
      <c r="H241" s="79">
        <f t="shared" si="79"/>
        <v>9538.618583799318</v>
      </c>
      <c r="I241" s="79">
        <f t="shared" si="79"/>
        <v>11448.093359746341</v>
      </c>
      <c r="J241" s="79">
        <f t="shared" si="79"/>
        <v>2594.7077122203086</v>
      </c>
      <c r="K241" s="79">
        <f t="shared" si="79"/>
        <v>0</v>
      </c>
      <c r="L241" s="79">
        <f t="shared" si="79"/>
        <v>0</v>
      </c>
      <c r="M241" s="79">
        <f t="shared" si="79"/>
        <v>0</v>
      </c>
    </row>
    <row r="242" spans="1:13" s="35" customFormat="1" x14ac:dyDescent="0.3">
      <c r="A242" s="35" t="s">
        <v>232</v>
      </c>
      <c r="B242" s="17" t="s">
        <v>124</v>
      </c>
      <c r="C242" s="33"/>
      <c r="D242" s="33">
        <f t="shared" ref="D242:M242" si="80">D237+D240-D241</f>
        <v>0</v>
      </c>
      <c r="E242" s="33">
        <f t="shared" si="80"/>
        <v>0</v>
      </c>
      <c r="F242" s="33">
        <f t="shared" si="80"/>
        <v>-1008</v>
      </c>
      <c r="G242" s="33">
        <f t="shared" si="80"/>
        <v>-647.96014601599086</v>
      </c>
      <c r="H242" s="33">
        <f t="shared" si="80"/>
        <v>0</v>
      </c>
      <c r="I242" s="33">
        <f t="shared" si="80"/>
        <v>0</v>
      </c>
      <c r="J242" s="33">
        <f t="shared" si="80"/>
        <v>0</v>
      </c>
      <c r="K242" s="33">
        <f t="shared" si="80"/>
        <v>-12000</v>
      </c>
      <c r="L242" s="33">
        <f t="shared" si="80"/>
        <v>-12000</v>
      </c>
      <c r="M242" s="33">
        <f t="shared" si="80"/>
        <v>-12000</v>
      </c>
    </row>
    <row r="243" spans="1:13" s="58" customFormat="1" x14ac:dyDescent="0.3">
      <c r="A243" s="58" t="s">
        <v>233</v>
      </c>
      <c r="C243" s="59"/>
      <c r="D243" s="59"/>
      <c r="E243" s="59"/>
      <c r="F243" s="59"/>
      <c r="G243" s="59"/>
      <c r="H243" s="59"/>
      <c r="I243" s="59"/>
      <c r="J243" s="59"/>
      <c r="K243" s="59"/>
      <c r="L243" s="59"/>
      <c r="M243" s="59"/>
    </row>
    <row r="244" spans="1:13" ht="15.5" x14ac:dyDescent="0.35">
      <c r="A244" s="107" t="s">
        <v>153</v>
      </c>
      <c r="B244" s="17" t="s">
        <v>124</v>
      </c>
      <c r="C244" s="155">
        <f>SUM(D244:M244)</f>
        <v>33305.66402875632</v>
      </c>
      <c r="D244" s="108">
        <f t="shared" ref="D244:F244" si="81">D219+D241</f>
        <v>0</v>
      </c>
      <c r="E244" s="108">
        <f t="shared" si="81"/>
        <v>0</v>
      </c>
      <c r="F244" s="108">
        <f t="shared" si="81"/>
        <v>0</v>
      </c>
      <c r="G244" s="108">
        <f>G219+G241</f>
        <v>1647.164962949661</v>
      </c>
      <c r="H244" s="108">
        <f t="shared" ref="H244:M244" si="82">H219+H241</f>
        <v>12290.812499208667</v>
      </c>
      <c r="I244" s="108">
        <f t="shared" si="82"/>
        <v>14295.6380759648</v>
      </c>
      <c r="J244" s="108">
        <f t="shared" si="82"/>
        <v>5072.0484906331922</v>
      </c>
      <c r="K244" s="108">
        <f t="shared" si="82"/>
        <v>0</v>
      </c>
      <c r="L244" s="108">
        <f t="shared" si="82"/>
        <v>0</v>
      </c>
      <c r="M244" s="108">
        <f t="shared" si="82"/>
        <v>0</v>
      </c>
    </row>
    <row r="245" spans="1:13" x14ac:dyDescent="0.3">
      <c r="A245" s="18"/>
      <c r="B245" s="18"/>
      <c r="D245" s="21"/>
      <c r="E245" s="21"/>
      <c r="F245" s="21"/>
      <c r="G245" s="21"/>
      <c r="H245" s="21"/>
      <c r="I245" s="21"/>
      <c r="J245" s="21"/>
      <c r="K245" s="21"/>
      <c r="L245" s="21"/>
      <c r="M245" s="21"/>
    </row>
    <row r="246" spans="1:13" s="183" customFormat="1" ht="33.5" customHeight="1" x14ac:dyDescent="0.35">
      <c r="A246" s="180" t="str">
        <f>'Results &amp; Common Inputs'!A$28</f>
        <v>Life of Business</v>
      </c>
      <c r="B246" s="180" t="str">
        <f>'Results &amp; Common Inputs'!B$28</f>
        <v>units</v>
      </c>
      <c r="C246" s="181" t="str">
        <f>'Results &amp; Common Inputs'!C$28</f>
        <v>Total</v>
      </c>
      <c r="D246" s="182">
        <f>'Results &amp; Common Inputs'!D$28</f>
        <v>2026</v>
      </c>
      <c r="E246" s="182">
        <f>'Results &amp; Common Inputs'!E$28</f>
        <v>2027</v>
      </c>
      <c r="F246" s="182">
        <f>'Results &amp; Common Inputs'!F$28</f>
        <v>2028</v>
      </c>
      <c r="G246" s="182">
        <f>'Results &amp; Common Inputs'!G$28</f>
        <v>2029</v>
      </c>
      <c r="H246" s="182">
        <f>'Results &amp; Common Inputs'!H$28</f>
        <v>2030</v>
      </c>
      <c r="I246" s="182">
        <f>'Results &amp; Common Inputs'!I$28</f>
        <v>2031</v>
      </c>
      <c r="J246" s="182">
        <f>'Results &amp; Common Inputs'!J$28</f>
        <v>2032</v>
      </c>
      <c r="K246" s="182">
        <f>'Results &amp; Common Inputs'!K$28</f>
        <v>2033</v>
      </c>
      <c r="L246" s="182">
        <f>'Results &amp; Common Inputs'!L$28</f>
        <v>2034</v>
      </c>
      <c r="M246" s="182">
        <f>'Results &amp; Common Inputs'!M$28</f>
        <v>2035</v>
      </c>
    </row>
    <row r="247" spans="1:13" s="176" customFormat="1" ht="43.75" customHeight="1" x14ac:dyDescent="0.35">
      <c r="A247" s="175" t="s">
        <v>251</v>
      </c>
      <c r="C247" s="177"/>
      <c r="D247" s="177"/>
      <c r="E247" s="177"/>
      <c r="F247" s="177"/>
      <c r="G247" s="177"/>
      <c r="H247" s="177"/>
      <c r="I247" s="177"/>
      <c r="J247" s="177"/>
      <c r="K247" s="177"/>
      <c r="L247" s="177"/>
      <c r="M247" s="177"/>
    </row>
    <row r="248" spans="1:13" x14ac:dyDescent="0.3">
      <c r="A248" s="31" t="s">
        <v>40</v>
      </c>
      <c r="B248" s="18"/>
      <c r="D248" s="21"/>
      <c r="E248" s="21"/>
      <c r="F248" s="21"/>
      <c r="G248" s="21"/>
      <c r="H248" s="21"/>
      <c r="I248" s="21"/>
      <c r="J248" s="21"/>
      <c r="K248" s="21"/>
      <c r="L248" s="21"/>
      <c r="M248" s="21"/>
    </row>
    <row r="249" spans="1:13" s="35" customFormat="1" x14ac:dyDescent="0.3">
      <c r="A249" s="35" t="str">
        <f>A$88</f>
        <v>Cashstream 1: Revenue - High Grading Case</v>
      </c>
      <c r="B249" s="35" t="str">
        <f>B$88</f>
        <v>US$ 000 Real</v>
      </c>
      <c r="C249" s="33">
        <f t="shared" ref="C249" si="83">SUM(D249:M249)</f>
        <v>324141.47909967846</v>
      </c>
      <c r="D249" s="33">
        <f t="shared" ref="D249:M249" si="84">D$88</f>
        <v>0</v>
      </c>
      <c r="E249" s="33">
        <f t="shared" si="84"/>
        <v>0</v>
      </c>
      <c r="F249" s="33">
        <f t="shared" si="84"/>
        <v>0</v>
      </c>
      <c r="G249" s="33">
        <f t="shared" si="84"/>
        <v>54905.498764988704</v>
      </c>
      <c r="H249" s="33">
        <f t="shared" si="84"/>
        <v>91739.797180311652</v>
      </c>
      <c r="I249" s="33">
        <f t="shared" si="84"/>
        <v>94918.157207281984</v>
      </c>
      <c r="J249" s="33">
        <f t="shared" si="84"/>
        <v>82578.025947096117</v>
      </c>
      <c r="K249" s="33">
        <f t="shared" si="84"/>
        <v>0</v>
      </c>
      <c r="L249" s="33">
        <f t="shared" si="84"/>
        <v>0</v>
      </c>
      <c r="M249" s="33">
        <f t="shared" si="84"/>
        <v>0</v>
      </c>
    </row>
    <row r="250" spans="1:13" s="39" customFormat="1" x14ac:dyDescent="0.3">
      <c r="A250" s="39" t="str">
        <f>A113</f>
        <v>Cashstream 2: Capital Costs - High Grading Case</v>
      </c>
      <c r="B250" s="39" t="str">
        <f>B113</f>
        <v>US$ 000 Real</v>
      </c>
      <c r="C250" s="50">
        <f>SUM(D250:M250)</f>
        <v>82700</v>
      </c>
      <c r="D250" s="50">
        <f t="shared" ref="D250:M250" si="85">D113</f>
        <v>4500</v>
      </c>
      <c r="E250" s="50">
        <f t="shared" si="85"/>
        <v>29000</v>
      </c>
      <c r="F250" s="50">
        <f t="shared" si="85"/>
        <v>24500</v>
      </c>
      <c r="G250" s="50">
        <f t="shared" si="85"/>
        <v>5800</v>
      </c>
      <c r="H250" s="50">
        <f t="shared" si="85"/>
        <v>5800</v>
      </c>
      <c r="I250" s="50">
        <f t="shared" si="85"/>
        <v>7300</v>
      </c>
      <c r="J250" s="50">
        <f t="shared" si="85"/>
        <v>5800</v>
      </c>
      <c r="K250" s="50">
        <f t="shared" si="85"/>
        <v>0</v>
      </c>
      <c r="L250" s="50">
        <f t="shared" si="85"/>
        <v>0</v>
      </c>
      <c r="M250" s="50">
        <f t="shared" si="85"/>
        <v>0</v>
      </c>
    </row>
    <row r="251" spans="1:13" s="39" customFormat="1" x14ac:dyDescent="0.3">
      <c r="A251" s="39" t="str">
        <f>A206</f>
        <v>Cashstream 3: Operating Costs - High Grading Case</v>
      </c>
      <c r="B251" s="39" t="str">
        <f>B206</f>
        <v>US$ 000 Real</v>
      </c>
      <c r="C251" s="50">
        <f>SUM(D251:M251)</f>
        <v>197296.01286173632</v>
      </c>
      <c r="D251" s="50">
        <f>D206</f>
        <v>0</v>
      </c>
      <c r="E251" s="50">
        <f t="shared" ref="E251:F251" si="86">E206</f>
        <v>0</v>
      </c>
      <c r="F251" s="50">
        <f t="shared" si="86"/>
        <v>3360</v>
      </c>
      <c r="G251" s="50">
        <f t="shared" ref="G251:M251" si="87">G206</f>
        <v>36571.913589867821</v>
      </c>
      <c r="H251" s="50">
        <f t="shared" si="87"/>
        <v>42195.364828097947</v>
      </c>
      <c r="I251" s="50">
        <f t="shared" si="87"/>
        <v>42646.348347727682</v>
      </c>
      <c r="J251" s="50">
        <f t="shared" si="87"/>
        <v>32522.386096042883</v>
      </c>
      <c r="K251" s="50">
        <f t="shared" si="87"/>
        <v>40000</v>
      </c>
      <c r="L251" s="50">
        <f t="shared" si="87"/>
        <v>0</v>
      </c>
      <c r="M251" s="50">
        <f t="shared" si="87"/>
        <v>0</v>
      </c>
    </row>
    <row r="252" spans="1:13" s="39" customFormat="1" x14ac:dyDescent="0.3">
      <c r="A252" s="39" t="str">
        <f>A244</f>
        <v>Cashstream 4: Taxes - High Grading Case</v>
      </c>
      <c r="B252" s="39" t="str">
        <f>B244</f>
        <v>US$ 000 Real</v>
      </c>
      <c r="C252" s="50">
        <f>SUM(D252:M252)</f>
        <v>33305.66402875632</v>
      </c>
      <c r="D252" s="50">
        <f t="shared" ref="D252:M252" si="88">D244</f>
        <v>0</v>
      </c>
      <c r="E252" s="50">
        <f t="shared" si="88"/>
        <v>0</v>
      </c>
      <c r="F252" s="50">
        <f t="shared" si="88"/>
        <v>0</v>
      </c>
      <c r="G252" s="50">
        <f t="shared" si="88"/>
        <v>1647.164962949661</v>
      </c>
      <c r="H252" s="50">
        <f t="shared" si="88"/>
        <v>12290.812499208667</v>
      </c>
      <c r="I252" s="50">
        <f t="shared" si="88"/>
        <v>14295.6380759648</v>
      </c>
      <c r="J252" s="50">
        <f t="shared" si="88"/>
        <v>5072.0484906331922</v>
      </c>
      <c r="K252" s="50">
        <f t="shared" si="88"/>
        <v>0</v>
      </c>
      <c r="L252" s="50">
        <f t="shared" si="88"/>
        <v>0</v>
      </c>
      <c r="M252" s="50">
        <f t="shared" si="88"/>
        <v>0</v>
      </c>
    </row>
    <row r="253" spans="1:13" ht="16" thickBot="1" x14ac:dyDescent="0.4">
      <c r="A253" s="107" t="s">
        <v>252</v>
      </c>
      <c r="B253" s="17" t="s">
        <v>124</v>
      </c>
      <c r="C253" s="155">
        <f>SUM(D253:M253)</f>
        <v>10839.8022091858</v>
      </c>
      <c r="D253" s="108">
        <f t="shared" ref="D253:M253" si="89">D249-SUM(D250:D252)</f>
        <v>-4500</v>
      </c>
      <c r="E253" s="108">
        <f t="shared" si="89"/>
        <v>-29000</v>
      </c>
      <c r="F253" s="108">
        <f t="shared" si="89"/>
        <v>-27860</v>
      </c>
      <c r="G253" s="108">
        <f t="shared" si="89"/>
        <v>10886.420212171222</v>
      </c>
      <c r="H253" s="108">
        <f>H249-SUM(H250:H252)</f>
        <v>31453.619853005039</v>
      </c>
      <c r="I253" s="108">
        <f t="shared" si="89"/>
        <v>30676.170783589499</v>
      </c>
      <c r="J253" s="108">
        <f t="shared" si="89"/>
        <v>39183.59136042004</v>
      </c>
      <c r="K253" s="108">
        <f t="shared" si="89"/>
        <v>-40000</v>
      </c>
      <c r="L253" s="108">
        <f t="shared" si="89"/>
        <v>0</v>
      </c>
      <c r="M253" s="108">
        <f t="shared" si="89"/>
        <v>0</v>
      </c>
    </row>
    <row r="254" spans="1:13" s="39" customFormat="1" ht="13.5" thickBot="1" x14ac:dyDescent="0.35">
      <c r="A254" s="39" t="s">
        <v>253</v>
      </c>
      <c r="B254" s="39" t="s">
        <v>129</v>
      </c>
      <c r="C254" s="50"/>
      <c r="D254" s="53">
        <f>D253</f>
        <v>-4500</v>
      </c>
      <c r="E254" s="50">
        <f>D254+E253</f>
        <v>-33500</v>
      </c>
      <c r="F254" s="50">
        <f t="shared" ref="F254:M254" si="90">E254+F253</f>
        <v>-61360</v>
      </c>
      <c r="G254" s="50">
        <f t="shared" si="90"/>
        <v>-50473.579787828778</v>
      </c>
      <c r="H254" s="50">
        <f t="shared" si="90"/>
        <v>-19019.959934823739</v>
      </c>
      <c r="I254" s="50">
        <f t="shared" si="90"/>
        <v>11656.210848765761</v>
      </c>
      <c r="J254" s="50">
        <f t="shared" si="90"/>
        <v>50839.8022091858</v>
      </c>
      <c r="K254" s="50">
        <f t="shared" si="90"/>
        <v>10839.8022091858</v>
      </c>
      <c r="L254" s="50">
        <f t="shared" si="90"/>
        <v>10839.8022091858</v>
      </c>
      <c r="M254" s="50">
        <f t="shared" si="90"/>
        <v>10839.8022091858</v>
      </c>
    </row>
    <row r="255" spans="1:13" s="61" customFormat="1" ht="38" customHeight="1" x14ac:dyDescent="0.3">
      <c r="A255" s="31" t="s">
        <v>234</v>
      </c>
      <c r="C255" s="62"/>
      <c r="D255" s="62"/>
      <c r="E255" s="62"/>
      <c r="F255" s="62"/>
      <c r="G255" s="62"/>
      <c r="H255" s="62"/>
      <c r="I255" s="62"/>
      <c r="J255" s="62"/>
      <c r="K255" s="62"/>
      <c r="L255" s="62"/>
      <c r="M255" s="62"/>
    </row>
    <row r="256" spans="1:13" ht="18.5" x14ac:dyDescent="0.45">
      <c r="A256" s="178" t="s">
        <v>154</v>
      </c>
      <c r="C256" s="179">
        <f>IRR(D253:M253,5%)</f>
        <v>7.0130963387297518E-2</v>
      </c>
      <c r="D256" s="21"/>
      <c r="E256" s="21"/>
      <c r="F256" s="21"/>
      <c r="G256" s="21"/>
      <c r="H256" s="21"/>
      <c r="I256" s="21"/>
      <c r="J256" s="21"/>
      <c r="K256" s="21"/>
      <c r="L256" s="21"/>
      <c r="M256" s="21"/>
    </row>
    <row r="257" spans="1:13" s="61" customFormat="1" ht="38" customHeight="1" x14ac:dyDescent="0.3">
      <c r="A257" s="31" t="s">
        <v>238</v>
      </c>
      <c r="C257" s="62"/>
      <c r="D257" s="62"/>
      <c r="E257" s="62"/>
      <c r="F257" s="62"/>
      <c r="G257" s="62"/>
      <c r="H257" s="62"/>
      <c r="I257" s="62"/>
      <c r="J257" s="62"/>
      <c r="K257" s="62"/>
      <c r="L257" s="62"/>
      <c r="M257" s="62"/>
    </row>
    <row r="258" spans="1:13" x14ac:dyDescent="0.3">
      <c r="A258" s="58" t="s">
        <v>235</v>
      </c>
      <c r="B258" s="18"/>
      <c r="D258" s="21"/>
      <c r="E258" s="21"/>
      <c r="F258" s="21"/>
      <c r="G258" s="21"/>
      <c r="H258" s="21"/>
      <c r="I258" s="21"/>
      <c r="J258" s="21"/>
      <c r="K258" s="21"/>
      <c r="L258" s="21"/>
      <c r="M258" s="21"/>
    </row>
    <row r="259" spans="1:13" x14ac:dyDescent="0.3">
      <c r="A259" s="58" t="s">
        <v>236</v>
      </c>
      <c r="B259" s="18"/>
      <c r="D259" s="21"/>
      <c r="E259" s="21"/>
      <c r="F259" s="21"/>
      <c r="G259" s="21"/>
      <c r="H259" s="21"/>
      <c r="I259" s="21"/>
      <c r="J259" s="21"/>
      <c r="K259" s="21"/>
      <c r="L259" s="21"/>
      <c r="M259" s="21"/>
    </row>
    <row r="260" spans="1:13" x14ac:dyDescent="0.3">
      <c r="A260" s="92" t="s">
        <v>189</v>
      </c>
      <c r="B260" s="18"/>
      <c r="D260" s="21"/>
      <c r="E260" s="21"/>
      <c r="F260" s="21"/>
      <c r="G260" s="21"/>
      <c r="H260" s="21"/>
      <c r="I260" s="21"/>
      <c r="J260" s="21"/>
      <c r="K260" s="21"/>
      <c r="L260" s="21"/>
      <c r="M260" s="21"/>
    </row>
    <row r="261" spans="1:13" s="173" customFormat="1" ht="13.5" thickBot="1" x14ac:dyDescent="0.35">
      <c r="A261" s="170" t="str">
        <f>'Results &amp; Common Inputs'!A45</f>
        <v>Discount Rate - gold industry adjusted for the Company</v>
      </c>
      <c r="B261" s="170" t="str">
        <f>'Results &amp; Common Inputs'!B45</f>
        <v>% Real</v>
      </c>
      <c r="C261" s="170"/>
      <c r="D261" s="172">
        <f>'Results &amp; Common Inputs'!D45</f>
        <v>0.08</v>
      </c>
      <c r="E261" s="172">
        <f>'Results &amp; Common Inputs'!E45</f>
        <v>0.08</v>
      </c>
      <c r="F261" s="172">
        <f>'Results &amp; Common Inputs'!F45</f>
        <v>0.08</v>
      </c>
      <c r="G261" s="172">
        <f>'Results &amp; Common Inputs'!G45</f>
        <v>0.08</v>
      </c>
      <c r="H261" s="172">
        <f>'Results &amp; Common Inputs'!H45</f>
        <v>0.08</v>
      </c>
      <c r="I261" s="172">
        <f>'Results &amp; Common Inputs'!I45</f>
        <v>0.08</v>
      </c>
      <c r="J261" s="172">
        <f>'Results &amp; Common Inputs'!J45</f>
        <v>0.08</v>
      </c>
      <c r="K261" s="172">
        <f>'Results &amp; Common Inputs'!K45</f>
        <v>0.08</v>
      </c>
      <c r="L261" s="172">
        <f>'Results &amp; Common Inputs'!L45</f>
        <v>0.08</v>
      </c>
      <c r="M261" s="172">
        <f>'Results &amp; Common Inputs'!M45</f>
        <v>0.08</v>
      </c>
    </row>
    <row r="262" spans="1:13" ht="13.5" thickBot="1" x14ac:dyDescent="0.35">
      <c r="A262" s="17" t="s">
        <v>34</v>
      </c>
      <c r="C262" s="11"/>
      <c r="D262" s="54">
        <f>1/(1+D261)^0.5</f>
        <v>0.96225044864937614</v>
      </c>
      <c r="E262" s="55">
        <f>D262/(1+E261)</f>
        <v>0.89097263763831114</v>
      </c>
      <c r="F262" s="55">
        <f>E262/(1+F261)</f>
        <v>0.82497466447991763</v>
      </c>
      <c r="G262" s="55">
        <f t="shared" ref="G262:M262" si="91">F262/(1+G261)</f>
        <v>0.76386543007399776</v>
      </c>
      <c r="H262" s="55">
        <f t="shared" si="91"/>
        <v>0.70728280562407198</v>
      </c>
      <c r="I262" s="55">
        <f t="shared" si="91"/>
        <v>0.65489148668895547</v>
      </c>
      <c r="J262" s="55">
        <f t="shared" si="91"/>
        <v>0.60638100619347723</v>
      </c>
      <c r="K262" s="55">
        <f t="shared" si="91"/>
        <v>0.56146389462359003</v>
      </c>
      <c r="L262" s="55">
        <f t="shared" si="91"/>
        <v>0.51987397650332412</v>
      </c>
      <c r="M262" s="55">
        <f t="shared" si="91"/>
        <v>0.48136479305863339</v>
      </c>
    </row>
    <row r="263" spans="1:13" s="39" customFormat="1" ht="13.5" thickBot="1" x14ac:dyDescent="0.35">
      <c r="A263" s="38" t="s">
        <v>155</v>
      </c>
      <c r="B263" s="39" t="s">
        <v>129</v>
      </c>
      <c r="C263" s="40">
        <f>SUM(D263:M263)</f>
        <v>-1198.5702479897009</v>
      </c>
      <c r="D263" s="40">
        <f t="shared" ref="D263:M263" si="92">D253*D262</f>
        <v>-4330.1270189221923</v>
      </c>
      <c r="E263" s="40">
        <f t="shared" si="92"/>
        <v>-25838.206491511024</v>
      </c>
      <c r="F263" s="40">
        <f t="shared" si="92"/>
        <v>-22983.794152410504</v>
      </c>
      <c r="G263" s="40">
        <f t="shared" si="92"/>
        <v>8315.7600573364325</v>
      </c>
      <c r="H263" s="40">
        <f t="shared" si="92"/>
        <v>22246.604496666416</v>
      </c>
      <c r="I263" s="40">
        <f t="shared" si="92"/>
        <v>20089.563090389227</v>
      </c>
      <c r="J263" s="40">
        <f t="shared" si="92"/>
        <v>23760.185555405544</v>
      </c>
      <c r="K263" s="40">
        <f t="shared" si="92"/>
        <v>-22458.555784943601</v>
      </c>
      <c r="L263" s="40">
        <f t="shared" si="92"/>
        <v>0</v>
      </c>
      <c r="M263" s="40">
        <f t="shared" si="92"/>
        <v>0</v>
      </c>
    </row>
    <row r="264" spans="1:13" s="39" customFormat="1" ht="13.5" thickBot="1" x14ac:dyDescent="0.35">
      <c r="A264" s="39" t="s">
        <v>156</v>
      </c>
      <c r="B264" s="39" t="s">
        <v>129</v>
      </c>
      <c r="C264" s="50"/>
      <c r="D264" s="53">
        <f>D263</f>
        <v>-4330.1270189221923</v>
      </c>
      <c r="E264" s="50">
        <f>D264+E263</f>
        <v>-30168.333510433215</v>
      </c>
      <c r="F264" s="50">
        <f t="shared" ref="F264:M264" si="93">E264+F263</f>
        <v>-53152.127662843719</v>
      </c>
      <c r="G264" s="50">
        <f t="shared" si="93"/>
        <v>-44836.367605507286</v>
      </c>
      <c r="H264" s="50">
        <f t="shared" si="93"/>
        <v>-22589.763108840871</v>
      </c>
      <c r="I264" s="50">
        <f t="shared" si="93"/>
        <v>-2500.2000184516437</v>
      </c>
      <c r="J264" s="50">
        <f t="shared" si="93"/>
        <v>21259.9855369539</v>
      </c>
      <c r="K264" s="50">
        <f t="shared" si="93"/>
        <v>-1198.5702479897009</v>
      </c>
      <c r="L264" s="50">
        <f t="shared" si="93"/>
        <v>-1198.5702479897009</v>
      </c>
      <c r="M264" s="50">
        <f t="shared" si="93"/>
        <v>-1198.5702479897009</v>
      </c>
    </row>
    <row r="265" spans="1:13" s="39" customFormat="1" ht="15.5" x14ac:dyDescent="0.35">
      <c r="A265" s="52" t="s">
        <v>157</v>
      </c>
      <c r="B265" s="39" t="s">
        <v>129</v>
      </c>
      <c r="C265" s="51">
        <f>SUM(D263:M263)</f>
        <v>-1198.5702479897009</v>
      </c>
      <c r="D265" s="40"/>
      <c r="E265" s="40"/>
      <c r="F265" s="40"/>
      <c r="G265" s="40"/>
      <c r="H265" s="40"/>
      <c r="I265" s="40"/>
      <c r="J265" s="40"/>
      <c r="K265" s="40"/>
      <c r="L265" s="40"/>
      <c r="M265" s="40"/>
    </row>
    <row r="266" spans="1:13" s="39" customFormat="1" ht="15.5" x14ac:dyDescent="0.35">
      <c r="A266" s="58" t="s">
        <v>237</v>
      </c>
      <c r="C266" s="51"/>
      <c r="D266" s="40"/>
      <c r="E266" s="40"/>
      <c r="F266" s="40"/>
      <c r="G266" s="40"/>
      <c r="H266" s="40"/>
      <c r="I266" s="40"/>
      <c r="J266" s="40"/>
      <c r="K266" s="40"/>
      <c r="L266" s="40"/>
      <c r="M266" s="40"/>
    </row>
    <row r="267" spans="1:13" s="39" customFormat="1" ht="15.5" x14ac:dyDescent="0.35">
      <c r="A267" s="58" t="s">
        <v>239</v>
      </c>
      <c r="C267" s="51"/>
      <c r="D267" s="40"/>
      <c r="E267" s="40"/>
      <c r="F267" s="40"/>
      <c r="G267" s="40"/>
      <c r="H267" s="40"/>
      <c r="I267" s="40"/>
      <c r="J267" s="40"/>
      <c r="K267" s="40"/>
      <c r="L267" s="40"/>
      <c r="M267" s="40"/>
    </row>
    <row r="268" spans="1:13" s="61" customFormat="1" ht="28.75" customHeight="1" x14ac:dyDescent="0.35">
      <c r="A268" s="28" t="s">
        <v>113</v>
      </c>
      <c r="C268" s="62"/>
      <c r="D268" s="62"/>
      <c r="E268" s="62"/>
      <c r="F268" s="62"/>
      <c r="G268" s="62"/>
      <c r="H268" s="62"/>
      <c r="I268" s="62"/>
      <c r="J268" s="62"/>
      <c r="K268" s="62"/>
      <c r="L268" s="62"/>
      <c r="M268" s="62"/>
    </row>
    <row r="269" spans="1:13" x14ac:dyDescent="0.3">
      <c r="A269" s="58" t="s">
        <v>136</v>
      </c>
      <c r="B269" s="18"/>
      <c r="D269" s="21"/>
      <c r="E269" s="21"/>
      <c r="F269" s="21"/>
      <c r="G269" s="21"/>
      <c r="H269" s="21"/>
      <c r="I269" s="21"/>
      <c r="J269" s="21"/>
      <c r="K269" s="21"/>
      <c r="L269" s="21"/>
      <c r="M269" s="21"/>
    </row>
    <row r="270" spans="1:13" s="48" customFormat="1" ht="15.5" x14ac:dyDescent="0.35">
      <c r="A270" s="188" t="s">
        <v>112</v>
      </c>
      <c r="B270" s="188"/>
      <c r="C270" s="189">
        <f>C265/C102</f>
        <v>-2.0665004275684497E-2</v>
      </c>
      <c r="D270" s="49"/>
      <c r="E270" s="49"/>
      <c r="F270" s="49"/>
      <c r="G270" s="49"/>
      <c r="H270" s="49"/>
      <c r="I270" s="49"/>
      <c r="J270" s="49"/>
      <c r="K270" s="49"/>
      <c r="L270" s="49"/>
      <c r="M270" s="49"/>
    </row>
    <row r="271" spans="1:13" s="48" customFormat="1" ht="15.5" x14ac:dyDescent="0.35">
      <c r="A271" s="188" t="s">
        <v>114</v>
      </c>
      <c r="B271" s="48" t="s">
        <v>115</v>
      </c>
      <c r="C271" s="51">
        <f>SUM(D271:M271)</f>
        <v>6</v>
      </c>
      <c r="D271" s="49">
        <f t="shared" ref="D271:J271" si="94">IF(D264&gt;0,0,1)</f>
        <v>1</v>
      </c>
      <c r="E271" s="49">
        <f t="shared" si="94"/>
        <v>1</v>
      </c>
      <c r="F271" s="49">
        <f t="shared" si="94"/>
        <v>1</v>
      </c>
      <c r="G271" s="49">
        <f t="shared" si="94"/>
        <v>1</v>
      </c>
      <c r="H271" s="49">
        <f t="shared" si="94"/>
        <v>1</v>
      </c>
      <c r="I271" s="49">
        <f t="shared" si="94"/>
        <v>1</v>
      </c>
      <c r="J271" s="49">
        <f t="shared" si="94"/>
        <v>0</v>
      </c>
      <c r="K271" s="49"/>
      <c r="L271" s="49"/>
      <c r="M271" s="49"/>
    </row>
    <row r="273" spans="1:13" s="183" customFormat="1" ht="33.5" customHeight="1" x14ac:dyDescent="0.35">
      <c r="A273" s="180" t="str">
        <f>'Results &amp; Common Inputs'!A$28</f>
        <v>Life of Business</v>
      </c>
      <c r="B273" s="180" t="str">
        <f>'Results &amp; Common Inputs'!B$28</f>
        <v>units</v>
      </c>
      <c r="C273" s="181" t="str">
        <f>'Results &amp; Common Inputs'!C$28</f>
        <v>Total</v>
      </c>
      <c r="D273" s="182">
        <f>'Results &amp; Common Inputs'!D$28</f>
        <v>2026</v>
      </c>
      <c r="E273" s="182">
        <f>'Results &amp; Common Inputs'!E$28</f>
        <v>2027</v>
      </c>
      <c r="F273" s="182">
        <f>'Results &amp; Common Inputs'!F$28</f>
        <v>2028</v>
      </c>
      <c r="G273" s="182">
        <f>'Results &amp; Common Inputs'!G$28</f>
        <v>2029</v>
      </c>
      <c r="H273" s="182">
        <f>'Results &amp; Common Inputs'!H$28</f>
        <v>2030</v>
      </c>
      <c r="I273" s="182">
        <f>'Results &amp; Common Inputs'!I$28</f>
        <v>2031</v>
      </c>
      <c r="J273" s="182">
        <f>'Results &amp; Common Inputs'!J$28</f>
        <v>2032</v>
      </c>
      <c r="K273" s="182">
        <f>'Results &amp; Common Inputs'!K$28</f>
        <v>2033</v>
      </c>
      <c r="L273" s="182">
        <f>'Results &amp; Common Inputs'!L$28</f>
        <v>2034</v>
      </c>
      <c r="M273" s="182">
        <f>'Results &amp; Common Inputs'!M$28</f>
        <v>2035</v>
      </c>
    </row>
    <row r="274" spans="1:13" ht="114" customHeight="1" x14ac:dyDescent="0.3"/>
    <row r="275" spans="1:13" ht="31.75" customHeight="1" x14ac:dyDescent="0.3">
      <c r="A275" s="28" t="s">
        <v>137</v>
      </c>
    </row>
    <row r="276" spans="1:13" s="18" customFormat="1" x14ac:dyDescent="0.3">
      <c r="A276" s="81" t="str">
        <f>'Results &amp; Common Inputs'!A$28</f>
        <v>Life of Business</v>
      </c>
      <c r="B276" s="81" t="str">
        <f>'Results &amp; Common Inputs'!B$28</f>
        <v>units</v>
      </c>
      <c r="C276" s="82" t="str">
        <f>'Results &amp; Common Inputs'!C$28</f>
        <v>Total</v>
      </c>
      <c r="D276" s="20">
        <f>'Results &amp; Common Inputs'!D$28</f>
        <v>2026</v>
      </c>
      <c r="E276" s="20">
        <f>'Results &amp; Common Inputs'!E$28</f>
        <v>2027</v>
      </c>
      <c r="F276" s="20">
        <f>'Results &amp; Common Inputs'!F$28</f>
        <v>2028</v>
      </c>
      <c r="G276" s="20">
        <f>'Results &amp; Common Inputs'!G$28</f>
        <v>2029</v>
      </c>
      <c r="H276" s="20">
        <f>'Results &amp; Common Inputs'!H$28</f>
        <v>2030</v>
      </c>
      <c r="I276" s="20">
        <f>'Results &amp; Common Inputs'!I$28</f>
        <v>2031</v>
      </c>
      <c r="J276" s="20">
        <f>'Results &amp; Common Inputs'!J$28</f>
        <v>2032</v>
      </c>
      <c r="K276" s="20">
        <f>'Results &amp; Common Inputs'!K$28</f>
        <v>2033</v>
      </c>
      <c r="L276" s="20">
        <f>'Results &amp; Common Inputs'!L$28</f>
        <v>2034</v>
      </c>
      <c r="M276" s="20">
        <f>'Results &amp; Common Inputs'!M$28</f>
        <v>2035</v>
      </c>
    </row>
    <row r="277" spans="1:13" x14ac:dyDescent="0.3">
      <c r="A277" s="35" t="e">
        <f>#REF!</f>
        <v>#REF!</v>
      </c>
      <c r="B277" s="35" t="str">
        <f>B88</f>
        <v>US$ 000 Real</v>
      </c>
      <c r="D277" s="41">
        <f>D88</f>
        <v>0</v>
      </c>
      <c r="E277" s="41">
        <f>E88</f>
        <v>0</v>
      </c>
      <c r="F277" s="41">
        <f>F88</f>
        <v>0</v>
      </c>
      <c r="G277" s="41" t="e">
        <f>#REF!</f>
        <v>#REF!</v>
      </c>
      <c r="H277" s="41">
        <f t="shared" ref="H277:M277" si="95">H88</f>
        <v>91739.797180311652</v>
      </c>
      <c r="I277" s="41">
        <f t="shared" si="95"/>
        <v>94918.157207281984</v>
      </c>
      <c r="J277" s="41">
        <f t="shared" si="95"/>
        <v>82578.025947096117</v>
      </c>
      <c r="K277" s="41">
        <f t="shared" si="95"/>
        <v>0</v>
      </c>
      <c r="L277" s="41">
        <f t="shared" si="95"/>
        <v>0</v>
      </c>
      <c r="M277" s="41">
        <f t="shared" si="95"/>
        <v>0</v>
      </c>
    </row>
    <row r="278" spans="1:13" x14ac:dyDescent="0.3">
      <c r="A278" s="35" t="str">
        <f>A113</f>
        <v>Cashstream 2: Capital Costs - High Grading Case</v>
      </c>
      <c r="B278" s="35" t="str">
        <f>B113</f>
        <v>US$ 000 Real</v>
      </c>
      <c r="D278" s="41">
        <f t="shared" ref="D278:M278" si="96">-D113</f>
        <v>-4500</v>
      </c>
      <c r="E278" s="41">
        <f t="shared" si="96"/>
        <v>-29000</v>
      </c>
      <c r="F278" s="41">
        <f t="shared" si="96"/>
        <v>-24500</v>
      </c>
      <c r="G278" s="41">
        <f t="shared" si="96"/>
        <v>-5800</v>
      </c>
      <c r="H278" s="41">
        <f t="shared" si="96"/>
        <v>-5800</v>
      </c>
      <c r="I278" s="41">
        <f t="shared" si="96"/>
        <v>-7300</v>
      </c>
      <c r="J278" s="41">
        <f t="shared" si="96"/>
        <v>-5800</v>
      </c>
      <c r="K278" s="41">
        <f t="shared" si="96"/>
        <v>0</v>
      </c>
      <c r="L278" s="41">
        <f t="shared" si="96"/>
        <v>0</v>
      </c>
      <c r="M278" s="41">
        <f t="shared" si="96"/>
        <v>0</v>
      </c>
    </row>
    <row r="279" spans="1:13" x14ac:dyDescent="0.3">
      <c r="A279" s="35" t="str">
        <f>A206</f>
        <v>Cashstream 3: Operating Costs - High Grading Case</v>
      </c>
      <c r="B279" s="35" t="str">
        <f>B206</f>
        <v>US$ 000 Real</v>
      </c>
      <c r="C279" s="41" t="e">
        <f>SUM(D279:M279)</f>
        <v>#REF!</v>
      </c>
      <c r="D279" s="41">
        <f>-D206</f>
        <v>0</v>
      </c>
      <c r="E279" s="41">
        <f>-E206</f>
        <v>0</v>
      </c>
      <c r="F279" s="41" t="e">
        <f>-#REF!</f>
        <v>#REF!</v>
      </c>
      <c r="G279" s="41">
        <f t="shared" ref="G279:M279" si="97">-G206</f>
        <v>-36571.913589867821</v>
      </c>
      <c r="H279" s="41">
        <f t="shared" si="97"/>
        <v>-42195.364828097947</v>
      </c>
      <c r="I279" s="41">
        <f t="shared" si="97"/>
        <v>-42646.348347727682</v>
      </c>
      <c r="J279" s="41">
        <f t="shared" si="97"/>
        <v>-32522.386096042883</v>
      </c>
      <c r="K279" s="41">
        <f t="shared" si="97"/>
        <v>-40000</v>
      </c>
      <c r="L279" s="41">
        <f t="shared" si="97"/>
        <v>0</v>
      </c>
      <c r="M279" s="41">
        <f t="shared" si="97"/>
        <v>0</v>
      </c>
    </row>
    <row r="280" spans="1:13" x14ac:dyDescent="0.3">
      <c r="A280" s="35" t="str">
        <f>A244</f>
        <v>Cashstream 4: Taxes - High Grading Case</v>
      </c>
      <c r="B280" s="35" t="str">
        <f>B244</f>
        <v>US$ 000 Real</v>
      </c>
      <c r="D280" s="41">
        <f>-D244</f>
        <v>0</v>
      </c>
      <c r="E280" s="41">
        <f>-E244</f>
        <v>0</v>
      </c>
      <c r="F280" s="41">
        <f>-F244</f>
        <v>0</v>
      </c>
      <c r="G280" s="41" t="e">
        <f>-#REF!</f>
        <v>#REF!</v>
      </c>
      <c r="H280" s="41">
        <f t="shared" ref="H280:M280" si="98">-H244</f>
        <v>-12290.812499208667</v>
      </c>
      <c r="I280" s="41">
        <f t="shared" si="98"/>
        <v>-14295.6380759648</v>
      </c>
      <c r="J280" s="41">
        <f t="shared" si="98"/>
        <v>-5072.0484906331922</v>
      </c>
      <c r="K280" s="41">
        <f t="shared" si="98"/>
        <v>0</v>
      </c>
      <c r="L280" s="41">
        <f t="shared" si="98"/>
        <v>0</v>
      </c>
      <c r="M280" s="41">
        <f t="shared" si="98"/>
        <v>0</v>
      </c>
    </row>
    <row r="281" spans="1:13" x14ac:dyDescent="0.3">
      <c r="A281" s="17" t="s">
        <v>38</v>
      </c>
      <c r="B281" s="17" t="s">
        <v>38</v>
      </c>
      <c r="D281" s="41">
        <f>IF(SUM(D277:D280)&gt;0,SUM(D277:D280),0)</f>
        <v>0</v>
      </c>
      <c r="E281" s="41">
        <f t="shared" ref="E281:M281" si="99">IF(SUM(E277:E280)&gt;0,SUM(E277:E280),0)</f>
        <v>0</v>
      </c>
      <c r="F281" s="41" t="e">
        <f t="shared" si="99"/>
        <v>#REF!</v>
      </c>
      <c r="G281" s="41" t="e">
        <f t="shared" si="99"/>
        <v>#REF!</v>
      </c>
      <c r="H281" s="41">
        <f t="shared" si="99"/>
        <v>31453.619853005039</v>
      </c>
      <c r="I281" s="41">
        <f t="shared" si="99"/>
        <v>30676.170783589499</v>
      </c>
      <c r="J281" s="41">
        <f t="shared" si="99"/>
        <v>39183.59136042004</v>
      </c>
      <c r="K281" s="41">
        <f t="shared" si="99"/>
        <v>0</v>
      </c>
      <c r="L281" s="41">
        <f t="shared" si="99"/>
        <v>0</v>
      </c>
      <c r="M281" s="41">
        <f t="shared" si="99"/>
        <v>0</v>
      </c>
    </row>
    <row r="282" spans="1:13" x14ac:dyDescent="0.3">
      <c r="A282" s="17" t="s">
        <v>39</v>
      </c>
      <c r="B282" s="17" t="s">
        <v>39</v>
      </c>
      <c r="D282" s="41">
        <f>IF(SUM(D277:D280)&lt;0,-SUM(D277:D280),0)</f>
        <v>4500</v>
      </c>
      <c r="E282" s="41">
        <f t="shared" ref="E282:M282" si="100">IF(SUM(E277:E280)&lt;0,-SUM(E277:E280),0)</f>
        <v>29000</v>
      </c>
      <c r="F282" s="41" t="e">
        <f t="shared" si="100"/>
        <v>#REF!</v>
      </c>
      <c r="G282" s="41" t="e">
        <f t="shared" si="100"/>
        <v>#REF!</v>
      </c>
      <c r="H282" s="41">
        <f t="shared" si="100"/>
        <v>0</v>
      </c>
      <c r="I282" s="41">
        <f t="shared" si="100"/>
        <v>0</v>
      </c>
      <c r="J282" s="41">
        <f t="shared" si="100"/>
        <v>0</v>
      </c>
      <c r="K282" s="41">
        <f t="shared" si="100"/>
        <v>40000</v>
      </c>
      <c r="L282" s="41">
        <f t="shared" si="100"/>
        <v>0</v>
      </c>
      <c r="M282" s="41">
        <f t="shared" si="100"/>
        <v>0</v>
      </c>
    </row>
    <row r="283" spans="1:13" x14ac:dyDescent="0.3">
      <c r="A283" s="17" t="s">
        <v>41</v>
      </c>
      <c r="B283" s="17" t="s">
        <v>41</v>
      </c>
      <c r="D283" s="41">
        <f>D281-D282</f>
        <v>-4500</v>
      </c>
      <c r="E283" s="41">
        <f t="shared" ref="E283:M283" si="101">E281-E282</f>
        <v>-29000</v>
      </c>
      <c r="F283" s="41" t="e">
        <f t="shared" si="101"/>
        <v>#REF!</v>
      </c>
      <c r="G283" s="41" t="e">
        <f t="shared" si="101"/>
        <v>#REF!</v>
      </c>
      <c r="H283" s="41">
        <f t="shared" si="101"/>
        <v>31453.619853005039</v>
      </c>
      <c r="I283" s="41">
        <f t="shared" si="101"/>
        <v>30676.170783589499</v>
      </c>
      <c r="J283" s="41">
        <f t="shared" si="101"/>
        <v>39183.59136042004</v>
      </c>
      <c r="K283" s="41">
        <f t="shared" si="101"/>
        <v>-40000</v>
      </c>
      <c r="L283" s="41">
        <f t="shared" si="101"/>
        <v>0</v>
      </c>
      <c r="M283" s="41">
        <f t="shared" si="101"/>
        <v>0</v>
      </c>
    </row>
    <row r="284" spans="1:13" x14ac:dyDescent="0.3">
      <c r="A284" s="42"/>
      <c r="B284" s="42"/>
      <c r="C284" s="43"/>
      <c r="D284" s="44"/>
      <c r="E284" s="44"/>
      <c r="F284" s="44"/>
      <c r="G284" s="43"/>
      <c r="H284" s="43"/>
      <c r="I284" s="43"/>
      <c r="J284" s="43"/>
      <c r="K284" s="43"/>
      <c r="L284" s="43"/>
      <c r="M284" s="43"/>
    </row>
    <row r="345" spans="1:28" x14ac:dyDescent="0.3">
      <c r="A345" s="31" t="s">
        <v>16</v>
      </c>
    </row>
    <row r="346" spans="1:28" x14ac:dyDescent="0.3">
      <c r="A346" s="17" t="s">
        <v>17</v>
      </c>
    </row>
    <row r="347" spans="1:28" x14ac:dyDescent="0.3">
      <c r="A347" s="45" t="s">
        <v>135</v>
      </c>
      <c r="B347" s="46" t="s">
        <v>45</v>
      </c>
      <c r="C347" s="47">
        <v>0.36</v>
      </c>
      <c r="D347" s="47">
        <v>0.36</v>
      </c>
      <c r="E347" s="47">
        <v>0.36</v>
      </c>
      <c r="F347" s="47">
        <v>0.36</v>
      </c>
      <c r="G347" s="47">
        <v>0.36</v>
      </c>
      <c r="H347" s="47">
        <v>0.36</v>
      </c>
      <c r="I347" s="47">
        <v>0.36</v>
      </c>
      <c r="J347" s="47">
        <v>0.36</v>
      </c>
      <c r="K347" s="47">
        <v>0.36</v>
      </c>
      <c r="L347" s="47">
        <v>0.36</v>
      </c>
      <c r="M347" s="47">
        <v>0.36</v>
      </c>
      <c r="N347" s="47">
        <v>0.36</v>
      </c>
      <c r="O347" s="47">
        <v>0.36</v>
      </c>
      <c r="P347" s="47">
        <v>0.36</v>
      </c>
      <c r="Q347" s="47">
        <v>0.36</v>
      </c>
      <c r="R347" s="47">
        <v>0.36</v>
      </c>
      <c r="S347" s="47">
        <v>0.36</v>
      </c>
      <c r="T347" s="47">
        <v>0.36</v>
      </c>
      <c r="U347" s="47">
        <v>0.36</v>
      </c>
      <c r="V347" s="47">
        <v>0.36</v>
      </c>
      <c r="W347" s="47">
        <v>0.36</v>
      </c>
      <c r="X347" s="47">
        <v>0.36</v>
      </c>
      <c r="Y347" s="47">
        <v>0.36</v>
      </c>
      <c r="Z347" s="47">
        <v>0.36</v>
      </c>
      <c r="AA347" s="47">
        <v>0.36</v>
      </c>
      <c r="AB347" s="47">
        <v>0.36</v>
      </c>
    </row>
  </sheetData>
  <pageMargins left="0.70866141732283472" right="0.70866141732283472" top="0.74803149606299213" bottom="0.74803149606299213" header="0.31496062992125984" footer="0.31496062992125984"/>
  <pageSetup paperSize="9" scale="2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Results &amp; Common Inputs</vt:lpstr>
      <vt:lpstr>Base Case</vt:lpstr>
      <vt:lpstr>Low Capex Case</vt:lpstr>
      <vt:lpstr>High Grade Short Life Case</vt:lpstr>
      <vt:lpstr>'Base Case'!Print_Area</vt:lpstr>
      <vt:lpstr>'High Grade Short Life Case'!Print_Area</vt:lpstr>
      <vt:lpstr>Introduction!Print_Area</vt:lpstr>
      <vt:lpstr>'Low Capex Case'!Print_Area</vt:lpstr>
      <vt:lpstr>'Results &amp; Common Inputs'!Print_Area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mpcard</dc:creator>
  <cp:lastModifiedBy>Peter and Margie Card</cp:lastModifiedBy>
  <cp:lastPrinted>2011-08-03T11:26:27Z</cp:lastPrinted>
  <dcterms:created xsi:type="dcterms:W3CDTF">2009-07-21T00:07:29Z</dcterms:created>
  <dcterms:modified xsi:type="dcterms:W3CDTF">2023-09-10T06:15:01Z</dcterms:modified>
</cp:coreProperties>
</file>